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ichova\Desktop\5. Hřbitov chodníky\4. VŘ\PD pro VŘ\VV, Rozpočet\SO 01_VV, rozpočet\"/>
    </mc:Choice>
  </mc:AlternateContent>
  <xr:revisionPtr revIDLastSave="0" documentId="13_ncr:1_{99795649-D702-4555-B4E2-6A36B9F40972}" xr6:coauthVersionLast="47" xr6:coauthVersionMax="47" xr10:uidLastSave="{00000000-0000-0000-0000-000000000000}"/>
  <bookViews>
    <workbookView xWindow="1560" yWindow="930" windowWidth="16980" windowHeight="1527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4" i="3" l="1"/>
  <c r="I44" i="3" s="1"/>
  <c r="F43" i="3"/>
  <c r="I43" i="3" s="1"/>
  <c r="F42" i="3"/>
  <c r="I42" i="3" s="1"/>
  <c r="F40" i="3"/>
  <c r="I40" i="3" s="1"/>
  <c r="I39" i="3"/>
  <c r="F39" i="3"/>
  <c r="F38" i="3"/>
  <c r="I38" i="3" s="1"/>
  <c r="F36" i="3"/>
  <c r="I36" i="3" s="1"/>
  <c r="I26" i="3"/>
  <c r="I19" i="2" s="1"/>
  <c r="I25" i="3"/>
  <c r="I24" i="3"/>
  <c r="I23" i="3"/>
  <c r="I16" i="2" s="1"/>
  <c r="I22" i="3"/>
  <c r="I21" i="3"/>
  <c r="I17" i="3"/>
  <c r="I16" i="3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18" i="2"/>
  <c r="I17" i="2"/>
  <c r="F16" i="2"/>
  <c r="I15" i="2"/>
  <c r="F15" i="2"/>
  <c r="I14" i="2"/>
  <c r="F14" i="2"/>
  <c r="F22" i="2" s="1"/>
  <c r="C10" i="2"/>
  <c r="F6" i="2"/>
  <c r="C6" i="2"/>
  <c r="F4" i="2"/>
  <c r="C4" i="2"/>
  <c r="F2" i="2"/>
  <c r="C2" i="2"/>
  <c r="BS54" i="1"/>
  <c r="F41" i="3" s="1"/>
  <c r="I41" i="3" s="1"/>
  <c r="BJ54" i="1"/>
  <c r="BF54" i="1"/>
  <c r="BD54" i="1"/>
  <c r="AP54" i="1"/>
  <c r="I54" i="1" s="1"/>
  <c r="I53" i="1" s="1"/>
  <c r="AO54" i="1"/>
  <c r="H54" i="1" s="1"/>
  <c r="H53" i="1" s="1"/>
  <c r="AK54" i="1"/>
  <c r="AJ54" i="1"/>
  <c r="AS53" i="1" s="1"/>
  <c r="AH54" i="1"/>
  <c r="AG54" i="1"/>
  <c r="AF54" i="1"/>
  <c r="AE54" i="1"/>
  <c r="AD54" i="1"/>
  <c r="AC54" i="1"/>
  <c r="AB54" i="1"/>
  <c r="Z54" i="1"/>
  <c r="J54" i="1"/>
  <c r="AL54" i="1" s="1"/>
  <c r="AU53" i="1" s="1"/>
  <c r="AT53" i="1"/>
  <c r="BO52" i="1"/>
  <c r="BJ52" i="1"/>
  <c r="BF52" i="1"/>
  <c r="BD52" i="1"/>
  <c r="AP52" i="1"/>
  <c r="AX52" i="1" s="1"/>
  <c r="AO52" i="1"/>
  <c r="AW52" i="1" s="1"/>
  <c r="AK52" i="1"/>
  <c r="AJ52" i="1"/>
  <c r="AH52" i="1"/>
  <c r="AG52" i="1"/>
  <c r="AF52" i="1"/>
  <c r="AE52" i="1"/>
  <c r="AD52" i="1"/>
  <c r="AC52" i="1"/>
  <c r="AB52" i="1"/>
  <c r="Z52" i="1"/>
  <c r="J52" i="1"/>
  <c r="AL52" i="1" s="1"/>
  <c r="I52" i="1"/>
  <c r="BO51" i="1"/>
  <c r="BJ51" i="1"/>
  <c r="BH51" i="1"/>
  <c r="BF51" i="1"/>
  <c r="BD51" i="1"/>
  <c r="AP51" i="1"/>
  <c r="BI51" i="1" s="1"/>
  <c r="AO51" i="1"/>
  <c r="AW51" i="1" s="1"/>
  <c r="AK51" i="1"/>
  <c r="AJ51" i="1"/>
  <c r="AH51" i="1"/>
  <c r="AG51" i="1"/>
  <c r="AF51" i="1"/>
  <c r="AE51" i="1"/>
  <c r="AD51" i="1"/>
  <c r="AC51" i="1"/>
  <c r="AB51" i="1"/>
  <c r="Z51" i="1"/>
  <c r="J51" i="1"/>
  <c r="AL51" i="1" s="1"/>
  <c r="BO50" i="1"/>
  <c r="BJ50" i="1"/>
  <c r="BF50" i="1"/>
  <c r="BD50" i="1"/>
  <c r="AP50" i="1"/>
  <c r="I50" i="1" s="1"/>
  <c r="AO50" i="1"/>
  <c r="H50" i="1" s="1"/>
  <c r="AK50" i="1"/>
  <c r="AT49" i="1" s="1"/>
  <c r="AJ50" i="1"/>
  <c r="AH50" i="1"/>
  <c r="AG50" i="1"/>
  <c r="AF50" i="1"/>
  <c r="AE50" i="1"/>
  <c r="AD50" i="1"/>
  <c r="AC50" i="1"/>
  <c r="AB50" i="1"/>
  <c r="Z50" i="1"/>
  <c r="J50" i="1"/>
  <c r="AL50" i="1" s="1"/>
  <c r="BM48" i="1"/>
  <c r="BJ48" i="1"/>
  <c r="BF48" i="1"/>
  <c r="BD48" i="1"/>
  <c r="AP48" i="1"/>
  <c r="BI48" i="1" s="1"/>
  <c r="AO48" i="1"/>
  <c r="AW48" i="1" s="1"/>
  <c r="AL48" i="1"/>
  <c r="AK48" i="1"/>
  <c r="AJ48" i="1"/>
  <c r="AH48" i="1"/>
  <c r="AG48" i="1"/>
  <c r="AF48" i="1"/>
  <c r="AE48" i="1"/>
  <c r="AD48" i="1"/>
  <c r="AC48" i="1"/>
  <c r="AB48" i="1"/>
  <c r="Z48" i="1"/>
  <c r="BM47" i="1"/>
  <c r="F35" i="3" s="1"/>
  <c r="I35" i="3" s="1"/>
  <c r="BJ47" i="1"/>
  <c r="BF47" i="1"/>
  <c r="BD47" i="1"/>
  <c r="AP47" i="1"/>
  <c r="BI47" i="1" s="1"/>
  <c r="AO47" i="1"/>
  <c r="BH47" i="1" s="1"/>
  <c r="AK47" i="1"/>
  <c r="AT46" i="1" s="1"/>
  <c r="AJ47" i="1"/>
  <c r="AH47" i="1"/>
  <c r="AG47" i="1"/>
  <c r="AF47" i="1"/>
  <c r="AE47" i="1"/>
  <c r="AD47" i="1"/>
  <c r="AC47" i="1"/>
  <c r="AB47" i="1"/>
  <c r="Z47" i="1"/>
  <c r="J47" i="1"/>
  <c r="AL47" i="1" s="1"/>
  <c r="BJ44" i="1"/>
  <c r="BF44" i="1"/>
  <c r="BD44" i="1"/>
  <c r="AP44" i="1"/>
  <c r="BI44" i="1" s="1"/>
  <c r="AO44" i="1"/>
  <c r="AW44" i="1" s="1"/>
  <c r="AK44" i="1"/>
  <c r="AJ44" i="1"/>
  <c r="AH44" i="1"/>
  <c r="AG44" i="1"/>
  <c r="AF44" i="1"/>
  <c r="AE44" i="1"/>
  <c r="AD44" i="1"/>
  <c r="AC44" i="1"/>
  <c r="AB44" i="1"/>
  <c r="Z44" i="1"/>
  <c r="J44" i="1"/>
  <c r="AL44" i="1" s="1"/>
  <c r="BJ43" i="1"/>
  <c r="Z43" i="1" s="1"/>
  <c r="BF43" i="1"/>
  <c r="BD43" i="1"/>
  <c r="AP43" i="1"/>
  <c r="AX43" i="1" s="1"/>
  <c r="AO43" i="1"/>
  <c r="BH43" i="1" s="1"/>
  <c r="AK43" i="1"/>
  <c r="AJ43" i="1"/>
  <c r="AH43" i="1"/>
  <c r="AG43" i="1"/>
  <c r="AF43" i="1"/>
  <c r="AE43" i="1"/>
  <c r="AD43" i="1"/>
  <c r="AC43" i="1"/>
  <c r="AB43" i="1"/>
  <c r="J43" i="1"/>
  <c r="AL43" i="1" s="1"/>
  <c r="BJ42" i="1"/>
  <c r="Z42" i="1" s="1"/>
  <c r="BF42" i="1"/>
  <c r="BD42" i="1"/>
  <c r="AP42" i="1"/>
  <c r="BI42" i="1" s="1"/>
  <c r="AO42" i="1"/>
  <c r="BH42" i="1" s="1"/>
  <c r="AK42" i="1"/>
  <c r="AJ42" i="1"/>
  <c r="AH42" i="1"/>
  <c r="AG42" i="1"/>
  <c r="AF42" i="1"/>
  <c r="AE42" i="1"/>
  <c r="AD42" i="1"/>
  <c r="AC42" i="1"/>
  <c r="AB42" i="1"/>
  <c r="J42" i="1"/>
  <c r="AL42" i="1" s="1"/>
  <c r="H42" i="1"/>
  <c r="BJ41" i="1"/>
  <c r="Z41" i="1" s="1"/>
  <c r="BF41" i="1"/>
  <c r="BD41" i="1"/>
  <c r="AP41" i="1"/>
  <c r="BI41" i="1" s="1"/>
  <c r="AO41" i="1"/>
  <c r="H41" i="1" s="1"/>
  <c r="AK41" i="1"/>
  <c r="AJ41" i="1"/>
  <c r="AS40" i="1" s="1"/>
  <c r="AH41" i="1"/>
  <c r="AG41" i="1"/>
  <c r="AF41" i="1"/>
  <c r="AE41" i="1"/>
  <c r="AD41" i="1"/>
  <c r="AC41" i="1"/>
  <c r="AB41" i="1"/>
  <c r="J41" i="1"/>
  <c r="BJ39" i="1"/>
  <c r="BI39" i="1"/>
  <c r="BF39" i="1"/>
  <c r="BD39" i="1"/>
  <c r="AX39" i="1"/>
  <c r="AP39" i="1"/>
  <c r="AO39" i="1"/>
  <c r="H39" i="1" s="1"/>
  <c r="AK39" i="1"/>
  <c r="AT37" i="1" s="1"/>
  <c r="AJ39" i="1"/>
  <c r="AH39" i="1"/>
  <c r="AG39" i="1"/>
  <c r="AF39" i="1"/>
  <c r="AE39" i="1"/>
  <c r="AD39" i="1"/>
  <c r="AC39" i="1"/>
  <c r="Z39" i="1"/>
  <c r="J39" i="1"/>
  <c r="AL39" i="1" s="1"/>
  <c r="I39" i="1"/>
  <c r="BJ38" i="1"/>
  <c r="BF38" i="1"/>
  <c r="BD38" i="1"/>
  <c r="AP38" i="1"/>
  <c r="I38" i="1" s="1"/>
  <c r="AO38" i="1"/>
  <c r="AW38" i="1" s="1"/>
  <c r="AL38" i="1"/>
  <c r="AK38" i="1"/>
  <c r="AJ38" i="1"/>
  <c r="AS37" i="1" s="1"/>
  <c r="AH38" i="1"/>
  <c r="AG38" i="1"/>
  <c r="AF38" i="1"/>
  <c r="AE38" i="1"/>
  <c r="AD38" i="1"/>
  <c r="Z38" i="1"/>
  <c r="J38" i="1"/>
  <c r="BJ36" i="1"/>
  <c r="BF36" i="1"/>
  <c r="BD36" i="1"/>
  <c r="AP36" i="1"/>
  <c r="BI36" i="1" s="1"/>
  <c r="AC36" i="1" s="1"/>
  <c r="AO36" i="1"/>
  <c r="H36" i="1" s="1"/>
  <c r="AK36" i="1"/>
  <c r="AJ36" i="1"/>
  <c r="AH36" i="1"/>
  <c r="AG36" i="1"/>
  <c r="AF36" i="1"/>
  <c r="AE36" i="1"/>
  <c r="AD36" i="1"/>
  <c r="Z36" i="1"/>
  <c r="J36" i="1"/>
  <c r="AL36" i="1" s="1"/>
  <c r="I36" i="1"/>
  <c r="BJ35" i="1"/>
  <c r="BF35" i="1"/>
  <c r="BD35" i="1"/>
  <c r="AP35" i="1"/>
  <c r="I35" i="1" s="1"/>
  <c r="AO35" i="1"/>
  <c r="H35" i="1" s="1"/>
  <c r="AK35" i="1"/>
  <c r="AJ35" i="1"/>
  <c r="AH35" i="1"/>
  <c r="AG35" i="1"/>
  <c r="AF35" i="1"/>
  <c r="AE35" i="1"/>
  <c r="AD35" i="1"/>
  <c r="Z35" i="1"/>
  <c r="J35" i="1"/>
  <c r="AL35" i="1" s="1"/>
  <c r="BJ34" i="1"/>
  <c r="BF34" i="1"/>
  <c r="BD34" i="1"/>
  <c r="AP34" i="1"/>
  <c r="I34" i="1" s="1"/>
  <c r="AO34" i="1"/>
  <c r="AW34" i="1" s="1"/>
  <c r="AK34" i="1"/>
  <c r="AJ34" i="1"/>
  <c r="AH34" i="1"/>
  <c r="AG34" i="1"/>
  <c r="AF34" i="1"/>
  <c r="AE34" i="1"/>
  <c r="AD34" i="1"/>
  <c r="Z34" i="1"/>
  <c r="J34" i="1"/>
  <c r="AL34" i="1" s="1"/>
  <c r="H34" i="1"/>
  <c r="BJ33" i="1"/>
  <c r="BI33" i="1"/>
  <c r="BH33" i="1"/>
  <c r="BF33" i="1"/>
  <c r="BD33" i="1"/>
  <c r="AX33" i="1"/>
  <c r="AW33" i="1"/>
  <c r="AV33" i="1"/>
  <c r="AP33" i="1"/>
  <c r="AO33" i="1"/>
  <c r="AL33" i="1"/>
  <c r="AK33" i="1"/>
  <c r="AJ33" i="1"/>
  <c r="AH33" i="1"/>
  <c r="AG33" i="1"/>
  <c r="AF33" i="1"/>
  <c r="AE33" i="1"/>
  <c r="AD33" i="1"/>
  <c r="AC33" i="1"/>
  <c r="AB33" i="1"/>
  <c r="Z33" i="1"/>
  <c r="J33" i="1"/>
  <c r="I33" i="1"/>
  <c r="H33" i="1"/>
  <c r="BJ31" i="1"/>
  <c r="BF31" i="1"/>
  <c r="BD31" i="1"/>
  <c r="AP31" i="1"/>
  <c r="I31" i="1" s="1"/>
  <c r="AO31" i="1"/>
  <c r="H31" i="1" s="1"/>
  <c r="AK31" i="1"/>
  <c r="AJ31" i="1"/>
  <c r="AH31" i="1"/>
  <c r="AG31" i="1"/>
  <c r="AF31" i="1"/>
  <c r="AE31" i="1"/>
  <c r="AD31" i="1"/>
  <c r="Z31" i="1"/>
  <c r="J31" i="1"/>
  <c r="AL31" i="1" s="1"/>
  <c r="BJ30" i="1"/>
  <c r="BF30" i="1"/>
  <c r="BD30" i="1"/>
  <c r="AP30" i="1"/>
  <c r="I30" i="1" s="1"/>
  <c r="I29" i="1" s="1"/>
  <c r="AO30" i="1"/>
  <c r="BH30" i="1" s="1"/>
  <c r="AB30" i="1" s="1"/>
  <c r="AK30" i="1"/>
  <c r="AJ30" i="1"/>
  <c r="AH30" i="1"/>
  <c r="AG30" i="1"/>
  <c r="AF30" i="1"/>
  <c r="AE30" i="1"/>
  <c r="AD30" i="1"/>
  <c r="Z30" i="1"/>
  <c r="J30" i="1"/>
  <c r="J29" i="1" s="1"/>
  <c r="H30" i="1"/>
  <c r="H29" i="1" s="1"/>
  <c r="BJ28" i="1"/>
  <c r="BF28" i="1"/>
  <c r="BD28" i="1"/>
  <c r="AP28" i="1"/>
  <c r="AX28" i="1" s="1"/>
  <c r="AO28" i="1"/>
  <c r="AW28" i="1" s="1"/>
  <c r="AK28" i="1"/>
  <c r="AJ28" i="1"/>
  <c r="AH28" i="1"/>
  <c r="AG28" i="1"/>
  <c r="AF28" i="1"/>
  <c r="AE28" i="1"/>
  <c r="AD28" i="1"/>
  <c r="Z28" i="1"/>
  <c r="J28" i="1"/>
  <c r="AL28" i="1" s="1"/>
  <c r="I28" i="1"/>
  <c r="BJ27" i="1"/>
  <c r="BF27" i="1"/>
  <c r="BD27" i="1"/>
  <c r="AP27" i="1"/>
  <c r="AX27" i="1" s="1"/>
  <c r="AO27" i="1"/>
  <c r="BH27" i="1" s="1"/>
  <c r="AB27" i="1" s="1"/>
  <c r="AK27" i="1"/>
  <c r="AJ27" i="1"/>
  <c r="AH27" i="1"/>
  <c r="AG27" i="1"/>
  <c r="AF27" i="1"/>
  <c r="AE27" i="1"/>
  <c r="AD27" i="1"/>
  <c r="Z27" i="1"/>
  <c r="J27" i="1"/>
  <c r="AL27" i="1" s="1"/>
  <c r="BJ26" i="1"/>
  <c r="BF26" i="1"/>
  <c r="BD26" i="1"/>
  <c r="AP26" i="1"/>
  <c r="BI26" i="1" s="1"/>
  <c r="AC26" i="1" s="1"/>
  <c r="AO26" i="1"/>
  <c r="H26" i="1" s="1"/>
  <c r="AK26" i="1"/>
  <c r="AJ26" i="1"/>
  <c r="AH26" i="1"/>
  <c r="AG26" i="1"/>
  <c r="AF26" i="1"/>
  <c r="AE26" i="1"/>
  <c r="AD26" i="1"/>
  <c r="Z26" i="1"/>
  <c r="J26" i="1"/>
  <c r="AL26" i="1" s="1"/>
  <c r="BJ25" i="1"/>
  <c r="BF25" i="1"/>
  <c r="BD25" i="1"/>
  <c r="AP25" i="1"/>
  <c r="BI25" i="1" s="1"/>
  <c r="AC25" i="1" s="1"/>
  <c r="AO25" i="1"/>
  <c r="H25" i="1" s="1"/>
  <c r="AK25" i="1"/>
  <c r="AJ25" i="1"/>
  <c r="AH25" i="1"/>
  <c r="AG25" i="1"/>
  <c r="AF25" i="1"/>
  <c r="AE25" i="1"/>
  <c r="AD25" i="1"/>
  <c r="Z25" i="1"/>
  <c r="J25" i="1"/>
  <c r="I25" i="1"/>
  <c r="BJ23" i="1"/>
  <c r="BF23" i="1"/>
  <c r="BD23" i="1"/>
  <c r="AX23" i="1"/>
  <c r="AP23" i="1"/>
  <c r="BI23" i="1" s="1"/>
  <c r="AC23" i="1" s="1"/>
  <c r="AO23" i="1"/>
  <c r="H23" i="1" s="1"/>
  <c r="AK23" i="1"/>
  <c r="AJ23" i="1"/>
  <c r="AH23" i="1"/>
  <c r="AG23" i="1"/>
  <c r="AF23" i="1"/>
  <c r="AE23" i="1"/>
  <c r="AD23" i="1"/>
  <c r="Z23" i="1"/>
  <c r="J23" i="1"/>
  <c r="AL23" i="1" s="1"/>
  <c r="I23" i="1"/>
  <c r="BJ22" i="1"/>
  <c r="BF22" i="1"/>
  <c r="BD22" i="1"/>
  <c r="AP22" i="1"/>
  <c r="I22" i="1" s="1"/>
  <c r="AO22" i="1"/>
  <c r="AW22" i="1" s="1"/>
  <c r="AK22" i="1"/>
  <c r="AJ22" i="1"/>
  <c r="AH22" i="1"/>
  <c r="AG22" i="1"/>
  <c r="AF22" i="1"/>
  <c r="AE22" i="1"/>
  <c r="AD22" i="1"/>
  <c r="Z22" i="1"/>
  <c r="J22" i="1"/>
  <c r="AL22" i="1" s="1"/>
  <c r="BJ21" i="1"/>
  <c r="BF21" i="1"/>
  <c r="BD21" i="1"/>
  <c r="AP21" i="1"/>
  <c r="AX21" i="1" s="1"/>
  <c r="AO21" i="1"/>
  <c r="AW21" i="1" s="1"/>
  <c r="AK21" i="1"/>
  <c r="AJ21" i="1"/>
  <c r="AH21" i="1"/>
  <c r="AG21" i="1"/>
  <c r="AF21" i="1"/>
  <c r="AE21" i="1"/>
  <c r="AD21" i="1"/>
  <c r="Z21" i="1"/>
  <c r="J21" i="1"/>
  <c r="AL21" i="1" s="1"/>
  <c r="I21" i="1"/>
  <c r="BJ20" i="1"/>
  <c r="BF20" i="1"/>
  <c r="BD20" i="1"/>
  <c r="AP20" i="1"/>
  <c r="AX20" i="1" s="1"/>
  <c r="AO20" i="1"/>
  <c r="BH20" i="1" s="1"/>
  <c r="AB20" i="1" s="1"/>
  <c r="AK20" i="1"/>
  <c r="AJ20" i="1"/>
  <c r="AH20" i="1"/>
  <c r="AG20" i="1"/>
  <c r="AF20" i="1"/>
  <c r="AE20" i="1"/>
  <c r="AD20" i="1"/>
  <c r="Z20" i="1"/>
  <c r="J20" i="1"/>
  <c r="AL20" i="1" s="1"/>
  <c r="H20" i="1"/>
  <c r="BJ18" i="1"/>
  <c r="BF18" i="1"/>
  <c r="BD18" i="1"/>
  <c r="AX18" i="1"/>
  <c r="AP18" i="1"/>
  <c r="I18" i="1" s="1"/>
  <c r="AO18" i="1"/>
  <c r="BH18" i="1" s="1"/>
  <c r="AB18" i="1" s="1"/>
  <c r="AK18" i="1"/>
  <c r="AJ18" i="1"/>
  <c r="AH18" i="1"/>
  <c r="AG18" i="1"/>
  <c r="AF18" i="1"/>
  <c r="AE18" i="1"/>
  <c r="AD18" i="1"/>
  <c r="Z18" i="1"/>
  <c r="J18" i="1"/>
  <c r="AL18" i="1" s="1"/>
  <c r="BJ17" i="1"/>
  <c r="BH17" i="1"/>
  <c r="AB17" i="1" s="1"/>
  <c r="BF17" i="1"/>
  <c r="BD17" i="1"/>
  <c r="AW17" i="1"/>
  <c r="AP17" i="1"/>
  <c r="AX17" i="1" s="1"/>
  <c r="AO17" i="1"/>
  <c r="AL17" i="1"/>
  <c r="AK17" i="1"/>
  <c r="AJ17" i="1"/>
  <c r="AH17" i="1"/>
  <c r="AG17" i="1"/>
  <c r="AF17" i="1"/>
  <c r="AE17" i="1"/>
  <c r="AD17" i="1"/>
  <c r="Z17" i="1"/>
  <c r="J17" i="1"/>
  <c r="H17" i="1"/>
  <c r="BJ15" i="1"/>
  <c r="BF15" i="1"/>
  <c r="BD15" i="1"/>
  <c r="AP15" i="1"/>
  <c r="I15" i="1" s="1"/>
  <c r="I14" i="1" s="1"/>
  <c r="AO15" i="1"/>
  <c r="H15" i="1" s="1"/>
  <c r="H14" i="1" s="1"/>
  <c r="AK15" i="1"/>
  <c r="AT14" i="1" s="1"/>
  <c r="AJ15" i="1"/>
  <c r="AS14" i="1" s="1"/>
  <c r="AH15" i="1"/>
  <c r="AG15" i="1"/>
  <c r="AF15" i="1"/>
  <c r="AE15" i="1"/>
  <c r="AD15" i="1"/>
  <c r="Z15" i="1"/>
  <c r="J15" i="1"/>
  <c r="AL15" i="1" s="1"/>
  <c r="BJ13" i="1"/>
  <c r="BF13" i="1"/>
  <c r="BD13" i="1"/>
  <c r="AP13" i="1"/>
  <c r="I13" i="1" s="1"/>
  <c r="I12" i="1" s="1"/>
  <c r="AO13" i="1"/>
  <c r="AW13" i="1" s="1"/>
  <c r="AK13" i="1"/>
  <c r="AT12" i="1" s="1"/>
  <c r="AJ13" i="1"/>
  <c r="AH13" i="1"/>
  <c r="AG13" i="1"/>
  <c r="AF13" i="1"/>
  <c r="AE13" i="1"/>
  <c r="AD13" i="1"/>
  <c r="Z13" i="1"/>
  <c r="J13" i="1"/>
  <c r="AL13" i="1" s="1"/>
  <c r="AU12" i="1" s="1"/>
  <c r="J12" i="1"/>
  <c r="AU1" i="1"/>
  <c r="AT1" i="1"/>
  <c r="AS1" i="1"/>
  <c r="AS49" i="1" l="1"/>
  <c r="F37" i="3"/>
  <c r="I37" i="3" s="1"/>
  <c r="AS46" i="1"/>
  <c r="H43" i="1"/>
  <c r="J37" i="1"/>
  <c r="AS32" i="1"/>
  <c r="BH34" i="1"/>
  <c r="AB34" i="1" s="1"/>
  <c r="BC33" i="1"/>
  <c r="H27" i="1"/>
  <c r="AW26" i="1"/>
  <c r="BH26" i="1"/>
  <c r="AB26" i="1" s="1"/>
  <c r="I26" i="1"/>
  <c r="AX25" i="1"/>
  <c r="H22" i="1"/>
  <c r="BH22" i="1"/>
  <c r="AB22" i="1" s="1"/>
  <c r="AT19" i="1"/>
  <c r="H18" i="1"/>
  <c r="H16" i="1" s="1"/>
  <c r="J16" i="1"/>
  <c r="AT16" i="1"/>
  <c r="BH52" i="1"/>
  <c r="BI52" i="1"/>
  <c r="H51" i="1"/>
  <c r="I51" i="1"/>
  <c r="I49" i="1" s="1"/>
  <c r="AW47" i="1"/>
  <c r="J46" i="1"/>
  <c r="H47" i="1"/>
  <c r="H46" i="1" s="1"/>
  <c r="I47" i="1"/>
  <c r="I46" i="1" s="1"/>
  <c r="I44" i="1"/>
  <c r="AX44" i="1"/>
  <c r="BH44" i="1"/>
  <c r="BI43" i="1"/>
  <c r="I42" i="1"/>
  <c r="AW42" i="1"/>
  <c r="J40" i="1"/>
  <c r="AL41" i="1"/>
  <c r="C29" i="2" s="1"/>
  <c r="F29" i="2" s="1"/>
  <c r="I41" i="1"/>
  <c r="AX41" i="1"/>
  <c r="AT40" i="1"/>
  <c r="I37" i="1"/>
  <c r="AW39" i="1"/>
  <c r="BC39" i="1" s="1"/>
  <c r="AX38" i="1"/>
  <c r="BC38" i="1" s="1"/>
  <c r="H38" i="1"/>
  <c r="BH38" i="1"/>
  <c r="AB38" i="1" s="1"/>
  <c r="H37" i="1"/>
  <c r="AW36" i="1"/>
  <c r="AW35" i="1"/>
  <c r="AX35" i="1"/>
  <c r="J32" i="1"/>
  <c r="AT32" i="1"/>
  <c r="H32" i="1"/>
  <c r="AX34" i="1"/>
  <c r="AV34" i="1" s="1"/>
  <c r="I32" i="1"/>
  <c r="AT29" i="1"/>
  <c r="AL30" i="1"/>
  <c r="AU29" i="1" s="1"/>
  <c r="AS29" i="1"/>
  <c r="AS24" i="1"/>
  <c r="AT24" i="1"/>
  <c r="BH28" i="1"/>
  <c r="AB28" i="1" s="1"/>
  <c r="BI28" i="1"/>
  <c r="AC28" i="1" s="1"/>
  <c r="BI27" i="1"/>
  <c r="AC27" i="1" s="1"/>
  <c r="J24" i="1"/>
  <c r="AL25" i="1"/>
  <c r="AU24" i="1" s="1"/>
  <c r="AW23" i="1"/>
  <c r="BC23" i="1" s="1"/>
  <c r="AX22" i="1"/>
  <c r="C16" i="2"/>
  <c r="AU19" i="1"/>
  <c r="BH21" i="1"/>
  <c r="AB21" i="1" s="1"/>
  <c r="BI21" i="1"/>
  <c r="AC21" i="1" s="1"/>
  <c r="AS19" i="1"/>
  <c r="J19" i="1"/>
  <c r="BI20" i="1"/>
  <c r="AC20" i="1" s="1"/>
  <c r="AW18" i="1"/>
  <c r="BC18" i="1" s="1"/>
  <c r="C18" i="2"/>
  <c r="AS16" i="1"/>
  <c r="AV18" i="1"/>
  <c r="C27" i="2"/>
  <c r="AV17" i="1"/>
  <c r="BC17" i="1"/>
  <c r="C17" i="2"/>
  <c r="C20" i="2"/>
  <c r="BI17" i="1"/>
  <c r="AC17" i="1" s="1"/>
  <c r="I17" i="1"/>
  <c r="I16" i="1"/>
  <c r="C19" i="2"/>
  <c r="C28" i="2"/>
  <c r="F28" i="2" s="1"/>
  <c r="C21" i="2"/>
  <c r="AS12" i="1"/>
  <c r="AX13" i="1"/>
  <c r="BC13" i="1" s="1"/>
  <c r="H13" i="1"/>
  <c r="H12" i="1" s="1"/>
  <c r="BH13" i="1"/>
  <c r="AB13" i="1" s="1"/>
  <c r="AX48" i="1"/>
  <c r="AU46" i="1"/>
  <c r="BH48" i="1"/>
  <c r="AU32" i="1"/>
  <c r="BC48" i="1"/>
  <c r="AV48" i="1"/>
  <c r="BC52" i="1"/>
  <c r="AV52" i="1"/>
  <c r="BC22" i="1"/>
  <c r="AV22" i="1"/>
  <c r="AU14" i="1"/>
  <c r="AU37" i="1"/>
  <c r="BC44" i="1"/>
  <c r="AV44" i="1"/>
  <c r="AU40" i="1"/>
  <c r="AV13" i="1"/>
  <c r="BC21" i="1"/>
  <c r="AV21" i="1"/>
  <c r="BC28" i="1"/>
  <c r="AV28" i="1"/>
  <c r="AU16" i="1"/>
  <c r="AU49" i="1"/>
  <c r="I22" i="2"/>
  <c r="I45" i="3"/>
  <c r="I24" i="2" s="1"/>
  <c r="I27" i="3"/>
  <c r="F29" i="3" s="1"/>
  <c r="BI13" i="1"/>
  <c r="AC13" i="1" s="1"/>
  <c r="I20" i="1"/>
  <c r="I19" i="1" s="1"/>
  <c r="H21" i="1"/>
  <c r="H19" i="1" s="1"/>
  <c r="BI22" i="1"/>
  <c r="AC22" i="1" s="1"/>
  <c r="BH23" i="1"/>
  <c r="AB23" i="1" s="1"/>
  <c r="I27" i="1"/>
  <c r="I24" i="1" s="1"/>
  <c r="H28" i="1"/>
  <c r="H24" i="1" s="1"/>
  <c r="AW30" i="1"/>
  <c r="BC35" i="1"/>
  <c r="AX36" i="1"/>
  <c r="AV36" i="1" s="1"/>
  <c r="BI38" i="1"/>
  <c r="AC38" i="1" s="1"/>
  <c r="BH39" i="1"/>
  <c r="AB39" i="1" s="1"/>
  <c r="I43" i="1"/>
  <c r="H44" i="1"/>
  <c r="H40" i="1" s="1"/>
  <c r="H52" i="1"/>
  <c r="AW15" i="1"/>
  <c r="AX30" i="1"/>
  <c r="AW31" i="1"/>
  <c r="AW50" i="1"/>
  <c r="AW54" i="1"/>
  <c r="AX15" i="1"/>
  <c r="AW25" i="1"/>
  <c r="AX31" i="1"/>
  <c r="AW41" i="1"/>
  <c r="AX50" i="1"/>
  <c r="AX54" i="1"/>
  <c r="BI18" i="1"/>
  <c r="AC18" i="1" s="1"/>
  <c r="BI34" i="1"/>
  <c r="AC34" i="1" s="1"/>
  <c r="BH35" i="1"/>
  <c r="AB35" i="1" s="1"/>
  <c r="J14" i="1"/>
  <c r="AW20" i="1"/>
  <c r="AX26" i="1"/>
  <c r="AV26" i="1" s="1"/>
  <c r="AW27" i="1"/>
  <c r="BI35" i="1"/>
  <c r="AC35" i="1" s="1"/>
  <c r="BH36" i="1"/>
  <c r="AB36" i="1" s="1"/>
  <c r="AX42" i="1"/>
  <c r="AV42" i="1" s="1"/>
  <c r="AW43" i="1"/>
  <c r="AX47" i="1"/>
  <c r="J49" i="1"/>
  <c r="AX51" i="1"/>
  <c r="BC51" i="1" s="1"/>
  <c r="J53" i="1"/>
  <c r="BH15" i="1"/>
  <c r="AB15" i="1" s="1"/>
  <c r="AV23" i="1"/>
  <c r="BI30" i="1"/>
  <c r="AC30" i="1" s="1"/>
  <c r="BH31" i="1"/>
  <c r="AB31" i="1" s="1"/>
  <c r="BH50" i="1"/>
  <c r="BH54" i="1"/>
  <c r="BI31" i="1"/>
  <c r="AC31" i="1" s="1"/>
  <c r="BH41" i="1"/>
  <c r="BI50" i="1"/>
  <c r="BI54" i="1"/>
  <c r="BI15" i="1"/>
  <c r="AC15" i="1" s="1"/>
  <c r="BH25" i="1"/>
  <c r="AB25" i="1" s="1"/>
  <c r="H49" i="1" l="1"/>
  <c r="H45" i="1" s="1"/>
  <c r="AV47" i="1"/>
  <c r="AV39" i="1"/>
  <c r="AV38" i="1"/>
  <c r="BC34" i="1"/>
  <c r="J45" i="1"/>
  <c r="I45" i="1"/>
  <c r="AV51" i="1"/>
  <c r="I40" i="1"/>
  <c r="AV35" i="1"/>
  <c r="C14" i="2"/>
  <c r="BC47" i="1"/>
  <c r="BC43" i="1"/>
  <c r="AV43" i="1"/>
  <c r="BC25" i="1"/>
  <c r="AV25" i="1"/>
  <c r="I28" i="2"/>
  <c r="I29" i="2" s="1"/>
  <c r="BC27" i="1"/>
  <c r="AV27" i="1"/>
  <c r="BC54" i="1"/>
  <c r="AV54" i="1"/>
  <c r="BC20" i="1"/>
  <c r="AV20" i="1"/>
  <c r="BC50" i="1"/>
  <c r="AV50" i="1"/>
  <c r="BC30" i="1"/>
  <c r="AV30" i="1"/>
  <c r="BC31" i="1"/>
  <c r="AV31" i="1"/>
  <c r="BC36" i="1"/>
  <c r="C15" i="2"/>
  <c r="BC42" i="1"/>
  <c r="BC41" i="1"/>
  <c r="AV41" i="1"/>
  <c r="J55" i="1"/>
  <c r="BC15" i="1"/>
  <c r="AV15" i="1"/>
  <c r="BC26" i="1"/>
  <c r="C22" i="2" l="1"/>
</calcChain>
</file>

<file path=xl/sharedStrings.xml><?xml version="1.0" encoding="utf-8"?>
<sst xmlns="http://schemas.openxmlformats.org/spreadsheetml/2006/main" count="718" uniqueCount="241">
  <si>
    <t>Slepý stavební rozpočet</t>
  </si>
  <si>
    <t>Název stavby:</t>
  </si>
  <si>
    <t>Doba výstavby:</t>
  </si>
  <si>
    <t>Objednatel:</t>
  </si>
  <si>
    <t> </t>
  </si>
  <si>
    <t>Druh stavby:</t>
  </si>
  <si>
    <t>SO 01 ZPEVNĚNÉ PLOCHY - 3. etapa</t>
  </si>
  <si>
    <t>Začátek výstavby:</t>
  </si>
  <si>
    <t>Projektant:</t>
  </si>
  <si>
    <t>Lokalita:</t>
  </si>
  <si>
    <t>K.Ú. Šlapanice</t>
  </si>
  <si>
    <t>Konec výstavby:</t>
  </si>
  <si>
    <t>Zhotovitel:</t>
  </si>
  <si>
    <t>JKSO:</t>
  </si>
  <si>
    <t>8225922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</si>
  <si>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</si>
  <si>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</si>
  <si>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</si>
  <si>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</si>
  <si>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</si>
  <si>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</si>
  <si>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</si>
  <si>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</si>
  <si>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</si>
  <si>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</si>
  <si>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</si>
  <si>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</si>
  <si>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</si>
  <si>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 xml:space="preserve"> 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</si>
  <si>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</si>
  <si>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</si>
  <si>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</si>
  <si>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</si>
  <si>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</si>
  <si>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</si>
  <si>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</si>
  <si>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</si>
  <si>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</si>
  <si>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</si>
  <si>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</si>
  <si>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</si>
  <si>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</si>
  <si>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</si>
  <si>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</si>
  <si>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</si>
  <si>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</si>
  <si>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</si>
  <si>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</si>
  <si>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</si>
  <si>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</si>
  <si>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</si>
  <si>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00003VD</t>
  </si>
  <si>
    <t>Zatěžovací zkouška pláně vozovky</t>
  </si>
  <si>
    <t>kus</t>
  </si>
  <si>
    <t>0_</t>
  </si>
  <si>
    <t>_</t>
  </si>
  <si>
    <t>P</t>
  </si>
  <si>
    <t>11</t>
  </si>
  <si>
    <t>Přípravné a přidružené práce</t>
  </si>
  <si>
    <t>2</t>
  </si>
  <si>
    <t>113107510R00</t>
  </si>
  <si>
    <t>Odstranění podkladu pl. 50 m2 (jednotlivě),kam.drcené tl.10 cm</t>
  </si>
  <si>
    <t>m2</t>
  </si>
  <si>
    <t>RTS II / 2025</t>
  </si>
  <si>
    <t>11_</t>
  </si>
  <si>
    <t>12</t>
  </si>
  <si>
    <t>Odkopávky a prokopávky</t>
  </si>
  <si>
    <t>3</t>
  </si>
  <si>
    <t>122202201R00</t>
  </si>
  <si>
    <t>Odkopávky pro silnice v hor. 3 do 100 m3</t>
  </si>
  <si>
    <t>m3</t>
  </si>
  <si>
    <t>12_</t>
  </si>
  <si>
    <t>4</t>
  </si>
  <si>
    <t>Odkopávky pro silnice v hor. 3 do 100 m3 - sanace - alternativa</t>
  </si>
  <si>
    <t>16</t>
  </si>
  <si>
    <t>Přemístění výkopku</t>
  </si>
  <si>
    <t>5</t>
  </si>
  <si>
    <t>162701105R00</t>
  </si>
  <si>
    <t>Vodorovné přemístění výkopku z hor.1-4 do 10000 m - přebytky zeminy - výkopy</t>
  </si>
  <si>
    <t>16_</t>
  </si>
  <si>
    <t>6</t>
  </si>
  <si>
    <t>162701109R00</t>
  </si>
  <si>
    <t>Příplatek k vod. přemístění hor.1-4 za další 1 km (+17 km) - přebytky zeminy - výkopy</t>
  </si>
  <si>
    <t>7</t>
  </si>
  <si>
    <t>Vodorovné přemístění výkopku z hor.1-4 do 10000 m - výkopek sanace - alternativa</t>
  </si>
  <si>
    <t>8</t>
  </si>
  <si>
    <t>Příplatek k vod. přemístění hor.1-4 za další 1 km (+17km) - výkopek sanace</t>
  </si>
  <si>
    <t>18</t>
  </si>
  <si>
    <t>Povrchové úpravy terénu</t>
  </si>
  <si>
    <t>9</t>
  </si>
  <si>
    <t>182001111R00</t>
  </si>
  <si>
    <t>Plošná úprava terénu, nerovnosti do 10 cm v rovině - sadová úprava</t>
  </si>
  <si>
    <t>18_</t>
  </si>
  <si>
    <t>10</t>
  </si>
  <si>
    <t>181101102R00</t>
  </si>
  <si>
    <t>Úprava pláně v zářezech v hor. 1-4, se zhutněním - chodníky</t>
  </si>
  <si>
    <t>180402111R00</t>
  </si>
  <si>
    <t>Založení trávníku parkového výsevem v rovině - sadová úprava</t>
  </si>
  <si>
    <t>00572400</t>
  </si>
  <si>
    <t>Směs travní parková I. běžná zátěž PROFI</t>
  </si>
  <si>
    <t>kg</t>
  </si>
  <si>
    <t>M</t>
  </si>
  <si>
    <t>19</t>
  </si>
  <si>
    <t>Hloubení pro podzemní stěny, ražení a hloubení důlní</t>
  </si>
  <si>
    <t>13</t>
  </si>
  <si>
    <t>199000002R00</t>
  </si>
  <si>
    <t>Poplatek za skládku horniny 1- 4, č. dle katal. odpadů 17 05 04 - zeminy</t>
  </si>
  <si>
    <t>19_</t>
  </si>
  <si>
    <t>14</t>
  </si>
  <si>
    <t>Poplatek za skládku horniny 1- 4, č. dle katal. odpadů 17 05 04 - výkopek sanace - alternativa</t>
  </si>
  <si>
    <t>56</t>
  </si>
  <si>
    <t>Podkladní vrstvy komunikací, letišť a ploch</t>
  </si>
  <si>
    <t>15</t>
  </si>
  <si>
    <t>564861111RT2</t>
  </si>
  <si>
    <t>Podklad ze štěrkodrti po zhutnění tloušťky 20 cm - chodníky</t>
  </si>
  <si>
    <t>56_</t>
  </si>
  <si>
    <t>564831111RT4</t>
  </si>
  <si>
    <t>Podklad ze štěrkodrti po zhutnění tloušťky 10 cm - sanace - alternativa</t>
  </si>
  <si>
    <t>17</t>
  </si>
  <si>
    <t>568111112R00</t>
  </si>
  <si>
    <t>Zřízení vrstvy z geotextilie skl.do 1:5,š.do 7,5 m</t>
  </si>
  <si>
    <t>69366055</t>
  </si>
  <si>
    <t>Geotextilie netkaná 300 g/m2 - chodník</t>
  </si>
  <si>
    <t>59</t>
  </si>
  <si>
    <t>Dlažby pozemních komunikací a ploch</t>
  </si>
  <si>
    <t>591211211R00</t>
  </si>
  <si>
    <t>Kladení dlažby drobné kostky, lože z drti tl. 4 cm</t>
  </si>
  <si>
    <t>59_</t>
  </si>
  <si>
    <t>20</t>
  </si>
  <si>
    <t>58380120.A</t>
  </si>
  <si>
    <t>Kostka dlažební žulová štípaná + odseky, barva mix, drobná 80 až 100 mm, třída I</t>
  </si>
  <si>
    <t>S</t>
  </si>
  <si>
    <t>Přesuny sutí</t>
  </si>
  <si>
    <t>21</t>
  </si>
  <si>
    <t>979083117R00</t>
  </si>
  <si>
    <t>Vodorovné přemístění suti na skládku do 6000 m - drc. kamenivo</t>
  </si>
  <si>
    <t>t</t>
  </si>
  <si>
    <t>S_</t>
  </si>
  <si>
    <t>22</t>
  </si>
  <si>
    <t>979083191R00</t>
  </si>
  <si>
    <t>Příplatek za dalších započatých 1000 m nad 6000 m - drc. kamenivo, (+21 km)</t>
  </si>
  <si>
    <t>23</t>
  </si>
  <si>
    <t>979999975R00</t>
  </si>
  <si>
    <t>Poplatek za uložení, kamení s příměsí, (skup.170504), drc. kamenivo</t>
  </si>
  <si>
    <t>24</t>
  </si>
  <si>
    <t>998223011R00</t>
  </si>
  <si>
    <t>Přesun hmot, pozemní komunikace, kryt dlážděný</t>
  </si>
  <si>
    <t>VORN</t>
  </si>
  <si>
    <t>Vedlejší a ostatní rozpočtové náklady</t>
  </si>
  <si>
    <t>01VRN</t>
  </si>
  <si>
    <t>Průzkumy, geodetické a projektové práce</t>
  </si>
  <si>
    <t>25</t>
  </si>
  <si>
    <t>011002VRN</t>
  </si>
  <si>
    <t>Průzkumy - stávající inženýrské sítě</t>
  </si>
  <si>
    <t>Soubor</t>
  </si>
  <si>
    <t>99</t>
  </si>
  <si>
    <t>01VRN_</t>
  </si>
  <si>
    <t>Projektové práce - dokumentace skutečného provedení</t>
  </si>
  <si>
    <t>03VRN</t>
  </si>
  <si>
    <t>Zařízení staveniště</t>
  </si>
  <si>
    <t>27</t>
  </si>
  <si>
    <t>030001VRN</t>
  </si>
  <si>
    <t>03VRN_</t>
  </si>
  <si>
    <t>28</t>
  </si>
  <si>
    <t>034002VRN</t>
  </si>
  <si>
    <t>Zabezpečení staveniště - oplocení</t>
  </si>
  <si>
    <t>29</t>
  </si>
  <si>
    <t>039002VRN</t>
  </si>
  <si>
    <t>Odstranění zařízení staveniště</t>
  </si>
  <si>
    <t>07VRN</t>
  </si>
  <si>
    <t>Provozní vlivy</t>
  </si>
  <si>
    <t>30</t>
  </si>
  <si>
    <t>073002VRN</t>
  </si>
  <si>
    <t>Ztížení prací v prostoru hřbitova</t>
  </si>
  <si>
    <t>07VRN_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</si>
  <si>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</si>
  <si>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</si>
  <si>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</si>
  <si>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</si>
  <si>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</si>
  <si>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</si>
  <si>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</si>
  <si>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</si>
  <si>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</si>
  <si>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</si>
  <si>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</si>
  <si>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</si>
  <si>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</si>
  <si>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</si>
  <si>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</si>
  <si>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</si>
  <si>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</si>
  <si>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</si>
  <si>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</si>
  <si>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</si>
  <si>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</si>
  <si>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</si>
  <si>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</si>
  <si>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</si>
  <si>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</si>
  <si>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</si>
  <si>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</si>
  <si>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</si>
  <si>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</si>
  <si>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</si>
  <si>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</si>
  <si>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</si>
  <si>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</si>
  <si>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</si>
  <si>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</si>
  <si>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</si>
  <si>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</si>
  <si>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</si>
  <si>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</si>
  <si>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</si>
  <si>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</si>
  <si>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</si>
  <si>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</si>
  <si>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</si>
  <si>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</si>
  <si>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</si>
  <si>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</si>
  <si>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</si>
  <si>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</si>
  <si>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</si>
  <si>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</si>
  <si>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</si>
  <si>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</si>
  <si>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</si>
  <si>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</si>
  <si>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</si>
  <si>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</si>
  <si>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</si>
  <si>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</si>
  <si>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</si>
  <si>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</si>
  <si>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Ve všech listech tohoto souboru lze měnit pouze buňky s modrým pozadím.</t>
  </si>
  <si>
    <t>Jedná se o tyto údaje:</t>
  </si>
  <si>
    <t>údaje o firmě</t>
  </si>
  <si>
    <t>jednotkové ceny položek zadané na maximálně 2 desetinná místa</t>
  </si>
  <si>
    <t>HŘBITOV - OPRAVA ZPEVNĚNÝCH PLOCH, ŠLAPANICE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</si>
</sst>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3" tint="0.89999084444715716"/>
        <bgColor indexed="64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5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6" fillId="2" borderId="36" xfId="0" applyNumberFormat="1" applyFont="1" applyFill="1" applyBorder="1" applyAlignment="1" applyProtection="1">
      <alignment horizontal="center" vertical="center"/>
    </xf>
    <xf numFmtId="0" fontId="6" fillId="2" borderId="39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9" fillId="0" borderId="41" xfId="0" applyNumberFormat="1" applyFont="1" applyFill="1" applyBorder="1" applyAlignment="1" applyProtection="1">
      <alignment horizontal="left" vertical="center"/>
    </xf>
    <xf numFmtId="4" fontId="9" fillId="0" borderId="41" xfId="0" applyNumberFormat="1" applyFont="1" applyFill="1" applyBorder="1" applyAlignment="1" applyProtection="1">
      <alignment horizontal="right" vertical="center"/>
    </xf>
    <xf numFmtId="0" fontId="9" fillId="0" borderId="41" xfId="0" applyNumberFormat="1" applyFont="1" applyFill="1" applyBorder="1" applyAlignment="1" applyProtection="1">
      <alignment horizontal="righ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4" fontId="9" fillId="0" borderId="48" xfId="0" applyNumberFormat="1" applyFont="1" applyFill="1" applyBorder="1" applyAlignment="1" applyProtection="1">
      <alignment horizontal="right" vertical="center"/>
    </xf>
    <xf numFmtId="0" fontId="9" fillId="0" borderId="48" xfId="0" applyNumberFormat="1" applyFont="1" applyFill="1" applyBorder="1" applyAlignment="1" applyProtection="1">
      <alignment horizontal="right" vertical="center"/>
    </xf>
    <xf numFmtId="4" fontId="9" fillId="0" borderId="39" xfId="0" applyNumberFormat="1" applyFont="1" applyFill="1" applyBorder="1" applyAlignment="1" applyProtection="1">
      <alignment horizontal="right" vertical="center"/>
    </xf>
    <xf numFmtId="4" fontId="9" fillId="0" borderId="25" xfId="0" applyNumberFormat="1" applyFont="1" applyFill="1" applyBorder="1" applyAlignment="1" applyProtection="1">
      <alignment horizontal="right" vertical="center"/>
    </xf>
    <xf numFmtId="4" fontId="8" fillId="2" borderId="38" xfId="0" applyNumberFormat="1" applyFont="1" applyFill="1" applyBorder="1" applyAlignment="1" applyProtection="1">
      <alignment horizontal="right" vertical="center"/>
    </xf>
    <xf numFmtId="4" fontId="8" fillId="2" borderId="43" xfId="0" applyNumberFormat="1" applyFont="1" applyFill="1" applyBorder="1" applyAlignment="1" applyProtection="1">
      <alignment horizontal="right" vertical="center"/>
    </xf>
    <xf numFmtId="0" fontId="4" fillId="0" borderId="29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left" vertical="center"/>
    </xf>
    <xf numFmtId="4" fontId="3" fillId="0" borderId="68" xfId="0" applyNumberFormat="1" applyFont="1" applyFill="1" applyBorder="1" applyAlignment="1" applyProtection="1">
      <alignment horizontal="right" vertical="center"/>
    </xf>
    <xf numFmtId="0" fontId="3" fillId="0" borderId="68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right" vertical="center"/>
    </xf>
    <xf numFmtId="4" fontId="2" fillId="0" borderId="72" xfId="0" applyNumberFormat="1" applyFont="1" applyFill="1" applyBorder="1" applyAlignment="1" applyProtection="1">
      <alignment horizontal="right" vertical="center"/>
    </xf>
    <xf numFmtId="4" fontId="3" fillId="3" borderId="0" xfId="0" applyNumberFormat="1" applyFont="1" applyFill="1" applyBorder="1" applyAlignment="1" applyProtection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</xf>
    <xf numFmtId="0" fontId="11" fillId="0" borderId="0" xfId="0" applyFont="1"/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3" fillId="3" borderId="6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2" borderId="29" xfId="0" applyNumberFormat="1" applyFont="1" applyFill="1" applyBorder="1" applyAlignment="1" applyProtection="1">
      <alignment horizontal="left" vertical="center" wrapText="1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left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5" fillId="0" borderId="35" xfId="0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left" vertical="center"/>
    </xf>
    <xf numFmtId="0" fontId="7" fillId="0" borderId="38" xfId="0" applyNumberFormat="1" applyFont="1" applyFill="1" applyBorder="1" applyAlignment="1" applyProtection="1">
      <alignment horizontal="left" vertical="center"/>
    </xf>
    <xf numFmtId="0" fontId="3" fillId="3" borderId="32" xfId="0" applyNumberFormat="1" applyFont="1" applyFill="1" applyBorder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8" fillId="0" borderId="50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42" xfId="0" applyNumberFormat="1" applyFont="1" applyFill="1" applyBorder="1" applyAlignment="1" applyProtection="1">
      <alignment horizontal="left" vertical="center"/>
    </xf>
    <xf numFmtId="0" fontId="8" fillId="2" borderId="50" xfId="0" applyNumberFormat="1" applyFont="1" applyFill="1" applyBorder="1" applyAlignment="1" applyProtection="1">
      <alignment horizontal="left" vertical="center"/>
    </xf>
    <xf numFmtId="0" fontId="8" fillId="2" borderId="51" xfId="0" applyNumberFormat="1" applyFont="1" applyFill="1" applyBorder="1" applyAlignment="1" applyProtection="1">
      <alignment horizontal="left" vertical="center"/>
    </xf>
    <xf numFmtId="0" fontId="8" fillId="2" borderId="45" xfId="0" applyNumberFormat="1" applyFont="1" applyFill="1" applyBorder="1" applyAlignment="1" applyProtection="1">
      <alignment horizontal="left" vertical="center"/>
    </xf>
    <xf numFmtId="0" fontId="8" fillId="2" borderId="52" xfId="0" applyNumberFormat="1" applyFont="1" applyFill="1" applyBorder="1" applyAlignment="1" applyProtection="1">
      <alignment horizontal="left" vertical="center"/>
    </xf>
    <xf numFmtId="0" fontId="8" fillId="2" borderId="37" xfId="0" applyNumberFormat="1" applyFont="1" applyFill="1" applyBorder="1" applyAlignment="1" applyProtection="1">
      <alignment horizontal="left" vertical="center"/>
    </xf>
    <xf numFmtId="0" fontId="8" fillId="2" borderId="42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59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1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3" fillId="0" borderId="67" xfId="0" applyNumberFormat="1" applyFont="1" applyFill="1" applyBorder="1" applyAlignment="1" applyProtection="1">
      <alignment horizontal="lef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left" vertical="center"/>
    </xf>
    <xf numFmtId="0" fontId="8" fillId="0" borderId="69" xfId="0" applyNumberFormat="1" applyFont="1" applyFill="1" applyBorder="1" applyAlignment="1" applyProtection="1">
      <alignment horizontal="left" vertical="center"/>
    </xf>
    <xf numFmtId="0" fontId="8" fillId="0" borderId="70" xfId="0" applyNumberFormat="1" applyFont="1" applyFill="1" applyBorder="1" applyAlignment="1" applyProtection="1">
      <alignment horizontal="left" vertical="center"/>
    </xf>
    <xf numFmtId="0" fontId="8" fillId="0" borderId="71" xfId="0" applyNumberFormat="1" applyFont="1" applyFill="1" applyBorder="1" applyAlignment="1" applyProtection="1">
      <alignment horizontal="left" vertical="center"/>
    </xf>
    <xf numFmtId="4" fontId="8" fillId="0" borderId="73" xfId="0" applyNumberFormat="1" applyFont="1" applyFill="1" applyBorder="1" applyAlignment="1" applyProtection="1">
      <alignment horizontal="right" vertical="center"/>
    </xf>
    <xf numFmtId="0" fontId="8" fillId="0" borderId="70" xfId="0" applyNumberFormat="1" applyFont="1" applyFill="1" applyBorder="1" applyAlignment="1" applyProtection="1">
      <alignment horizontal="right" vertical="center"/>
    </xf>
    <xf numFmtId="0" fontId="8" fillId="0" borderId="71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57"/>
  <sheetViews>
    <sheetView tabSelected="1" workbookViewId="0">
      <pane ySplit="11" topLeftCell="A12" activePane="bottomLeft" state="frozen"/>
      <selection pane="bottomLeft" activeCell="G56" sqref="G56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28.570312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63" t="s">
        <v>1</v>
      </c>
      <c r="B2" s="64"/>
      <c r="C2" s="72" t="s">
        <v>240</v>
      </c>
      <c r="D2" s="73"/>
      <c r="E2" s="64" t="s">
        <v>2</v>
      </c>
      <c r="F2" s="64"/>
      <c r="G2" s="64"/>
      <c r="H2" s="70" t="s">
        <v>3</v>
      </c>
      <c r="I2" s="64" t="s">
        <v>4</v>
      </c>
      <c r="J2" s="64"/>
      <c r="K2" s="75"/>
    </row>
    <row r="3" spans="1:76" x14ac:dyDescent="0.25">
      <c r="A3" s="65"/>
      <c r="B3" s="66"/>
      <c r="C3" s="74"/>
      <c r="D3" s="74"/>
      <c r="E3" s="66"/>
      <c r="F3" s="66"/>
      <c r="G3" s="66"/>
      <c r="H3" s="66"/>
      <c r="I3" s="66"/>
      <c r="J3" s="66"/>
      <c r="K3" s="76"/>
    </row>
    <row r="4" spans="1:76" x14ac:dyDescent="0.25">
      <c r="A4" s="67" t="s">
        <v>5</v>
      </c>
      <c r="B4" s="66"/>
      <c r="C4" s="71" t="s">
        <v>6</v>
      </c>
      <c r="D4" s="66"/>
      <c r="E4" s="66" t="s">
        <v>7</v>
      </c>
      <c r="F4" s="66"/>
      <c r="G4" s="66"/>
      <c r="H4" s="71" t="s">
        <v>8</v>
      </c>
      <c r="I4" s="66" t="s">
        <v>4</v>
      </c>
      <c r="J4" s="66"/>
      <c r="K4" s="76"/>
    </row>
    <row r="5" spans="1:76" x14ac:dyDescent="0.25">
      <c r="A5" s="65"/>
      <c r="B5" s="66"/>
      <c r="C5" s="66"/>
      <c r="D5" s="66"/>
      <c r="E5" s="66"/>
      <c r="F5" s="66"/>
      <c r="G5" s="66"/>
      <c r="H5" s="66"/>
      <c r="I5" s="66"/>
      <c r="J5" s="66"/>
      <c r="K5" s="76"/>
    </row>
    <row r="6" spans="1:76" x14ac:dyDescent="0.25">
      <c r="A6" s="67" t="s">
        <v>9</v>
      </c>
      <c r="B6" s="66"/>
      <c r="C6" s="71" t="s">
        <v>10</v>
      </c>
      <c r="D6" s="66"/>
      <c r="E6" s="66" t="s">
        <v>11</v>
      </c>
      <c r="F6" s="66"/>
      <c r="G6" s="66"/>
      <c r="H6" s="71" t="s">
        <v>12</v>
      </c>
      <c r="I6" s="77" t="s">
        <v>4</v>
      </c>
      <c r="J6" s="77"/>
      <c r="K6" s="78"/>
    </row>
    <row r="7" spans="1:76" x14ac:dyDescent="0.25">
      <c r="A7" s="65"/>
      <c r="B7" s="66"/>
      <c r="C7" s="66"/>
      <c r="D7" s="66"/>
      <c r="E7" s="66"/>
      <c r="F7" s="66"/>
      <c r="G7" s="66"/>
      <c r="H7" s="66"/>
      <c r="I7" s="77"/>
      <c r="J7" s="77"/>
      <c r="K7" s="78"/>
    </row>
    <row r="8" spans="1:76" x14ac:dyDescent="0.25">
      <c r="A8" s="67" t="s">
        <v>13</v>
      </c>
      <c r="B8" s="66"/>
      <c r="C8" s="71" t="s">
        <v>14</v>
      </c>
      <c r="D8" s="66"/>
      <c r="E8" s="66" t="s">
        <v>15</v>
      </c>
      <c r="F8" s="66"/>
      <c r="G8" s="66"/>
      <c r="H8" s="71" t="s">
        <v>16</v>
      </c>
      <c r="I8" s="71"/>
      <c r="J8" s="66"/>
      <c r="K8" s="76"/>
    </row>
    <row r="9" spans="1:76" x14ac:dyDescent="0.25">
      <c r="A9" s="68"/>
      <c r="B9" s="69"/>
      <c r="C9" s="69"/>
      <c r="D9" s="69"/>
      <c r="E9" s="69"/>
      <c r="F9" s="69"/>
      <c r="G9" s="69"/>
      <c r="H9" s="69"/>
      <c r="I9" s="69"/>
      <c r="J9" s="69"/>
      <c r="K9" s="79"/>
    </row>
    <row r="10" spans="1:76" x14ac:dyDescent="0.25">
      <c r="A10" s="5" t="s">
        <v>17</v>
      </c>
      <c r="B10" s="6" t="s">
        <v>18</v>
      </c>
      <c r="C10" s="80" t="s">
        <v>19</v>
      </c>
      <c r="D10" s="81"/>
      <c r="E10" s="6" t="s">
        <v>20</v>
      </c>
      <c r="F10" s="7" t="s">
        <v>21</v>
      </c>
      <c r="G10" s="8" t="s">
        <v>22</v>
      </c>
      <c r="H10" s="84" t="s">
        <v>23</v>
      </c>
      <c r="I10" s="85"/>
      <c r="J10" s="86"/>
      <c r="K10" s="9" t="s">
        <v>24</v>
      </c>
      <c r="BK10" s="10" t="s">
        <v>25</v>
      </c>
      <c r="BL10" s="11" t="s">
        <v>26</v>
      </c>
      <c r="BW10" s="11" t="s">
        <v>27</v>
      </c>
    </row>
    <row r="11" spans="1:76" x14ac:dyDescent="0.25">
      <c r="A11" s="12" t="s">
        <v>28</v>
      </c>
      <c r="B11" s="13" t="s">
        <v>28</v>
      </c>
      <c r="C11" s="82" t="s">
        <v>29</v>
      </c>
      <c r="D11" s="83"/>
      <c r="E11" s="13" t="s">
        <v>28</v>
      </c>
      <c r="F11" s="13" t="s">
        <v>28</v>
      </c>
      <c r="G11" s="14" t="s">
        <v>30</v>
      </c>
      <c r="H11" s="15" t="s">
        <v>31</v>
      </c>
      <c r="I11" s="16" t="s">
        <v>32</v>
      </c>
      <c r="J11" s="17" t="s">
        <v>33</v>
      </c>
      <c r="K11" s="18" t="s">
        <v>34</v>
      </c>
      <c r="Z11" s="10" t="s">
        <v>35</v>
      </c>
      <c r="AA11" s="10" t="s">
        <v>36</v>
      </c>
      <c r="AB11" s="10" t="s">
        <v>37</v>
      </c>
      <c r="AC11" s="10" t="s">
        <v>38</v>
      </c>
      <c r="AD11" s="10" t="s">
        <v>39</v>
      </c>
      <c r="AE11" s="10" t="s">
        <v>40</v>
      </c>
      <c r="AF11" s="10" t="s">
        <v>41</v>
      </c>
      <c r="AG11" s="10" t="s">
        <v>42</v>
      </c>
      <c r="AH11" s="10" t="s">
        <v>43</v>
      </c>
      <c r="BH11" s="10" t="s">
        <v>44</v>
      </c>
      <c r="BI11" s="10" t="s">
        <v>45</v>
      </c>
      <c r="BJ11" s="10" t="s">
        <v>46</v>
      </c>
    </row>
    <row r="12" spans="1:76" x14ac:dyDescent="0.25">
      <c r="A12" s="19" t="s">
        <v>47</v>
      </c>
      <c r="B12" s="20" t="s">
        <v>48</v>
      </c>
      <c r="C12" s="87" t="s">
        <v>49</v>
      </c>
      <c r="D12" s="88"/>
      <c r="E12" s="21" t="s">
        <v>28</v>
      </c>
      <c r="F12" s="21" t="s">
        <v>28</v>
      </c>
      <c r="G12" s="21" t="s">
        <v>28</v>
      </c>
      <c r="H12" s="22">
        <f>ROUND(SUM(H13:H13),2)</f>
        <v>0</v>
      </c>
      <c r="I12" s="22">
        <f>ROUND(SUM(I13:I13),2)</f>
        <v>0</v>
      </c>
      <c r="J12" s="22">
        <f>ROUND(SUM(J13:J13),2)</f>
        <v>0</v>
      </c>
      <c r="K12" s="23" t="s">
        <v>47</v>
      </c>
      <c r="AI12" s="10" t="s">
        <v>47</v>
      </c>
      <c r="AS12" s="1">
        <f>SUM(AJ13:AJ13)</f>
        <v>0</v>
      </c>
      <c r="AT12" s="1">
        <f>SUM(AK13:AK13)</f>
        <v>0</v>
      </c>
      <c r="AU12" s="1">
        <f>SUM(AL13:AL13)</f>
        <v>0</v>
      </c>
    </row>
    <row r="13" spans="1:76" x14ac:dyDescent="0.25">
      <c r="A13" s="2" t="s">
        <v>50</v>
      </c>
      <c r="B13" s="3" t="s">
        <v>51</v>
      </c>
      <c r="C13" s="71" t="s">
        <v>52</v>
      </c>
      <c r="D13" s="66"/>
      <c r="E13" s="3" t="s">
        <v>53</v>
      </c>
      <c r="F13" s="24">
        <v>3</v>
      </c>
      <c r="G13" s="59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5" t="s">
        <v>47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10" t="s">
        <v>47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G13*1</f>
        <v>0</v>
      </c>
      <c r="AP13" s="24">
        <f>G13*(1-1)</f>
        <v>0</v>
      </c>
      <c r="AQ13" s="26" t="s">
        <v>50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54</v>
      </c>
      <c r="AZ13" s="26" t="s">
        <v>54</v>
      </c>
      <c r="BA13" s="10" t="s">
        <v>55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6" t="s">
        <v>56</v>
      </c>
      <c r="BL13" s="24">
        <v>0</v>
      </c>
      <c r="BW13" s="24">
        <v>21</v>
      </c>
      <c r="BX13" s="4" t="s">
        <v>52</v>
      </c>
    </row>
    <row r="14" spans="1:76" x14ac:dyDescent="0.25">
      <c r="A14" s="27" t="s">
        <v>47</v>
      </c>
      <c r="B14" s="28" t="s">
        <v>57</v>
      </c>
      <c r="C14" s="89" t="s">
        <v>58</v>
      </c>
      <c r="D14" s="90"/>
      <c r="E14" s="29" t="s">
        <v>28</v>
      </c>
      <c r="F14" s="29" t="s">
        <v>28</v>
      </c>
      <c r="G14" s="29" t="s">
        <v>28</v>
      </c>
      <c r="H14" s="1">
        <f>ROUND(SUM(H15:H15),2)</f>
        <v>0</v>
      </c>
      <c r="I14" s="1">
        <f>ROUND(SUM(I15:I15),2)</f>
        <v>0</v>
      </c>
      <c r="J14" s="1">
        <f>ROUND(SUM(J15:J15),2)</f>
        <v>0</v>
      </c>
      <c r="K14" s="30" t="s">
        <v>47</v>
      </c>
      <c r="AI14" s="10" t="s">
        <v>47</v>
      </c>
      <c r="AS14" s="1">
        <f>SUM(AJ15:AJ15)</f>
        <v>0</v>
      </c>
      <c r="AT14" s="1">
        <f>SUM(AK15:AK15)</f>
        <v>0</v>
      </c>
      <c r="AU14" s="1">
        <f>SUM(AL15:AL15)</f>
        <v>0</v>
      </c>
    </row>
    <row r="15" spans="1:76" x14ac:dyDescent="0.25">
      <c r="A15" s="2" t="s">
        <v>59</v>
      </c>
      <c r="B15" s="3" t="s">
        <v>60</v>
      </c>
      <c r="C15" s="71" t="s">
        <v>61</v>
      </c>
      <c r="D15" s="66"/>
      <c r="E15" s="3" t="s">
        <v>62</v>
      </c>
      <c r="F15" s="24">
        <v>184.5</v>
      </c>
      <c r="G15" s="59">
        <v>0</v>
      </c>
      <c r="H15" s="24">
        <f>ROUND(F15*AO15,2)</f>
        <v>0</v>
      </c>
      <c r="I15" s="24">
        <f>ROUND(F15*AP15,2)</f>
        <v>0</v>
      </c>
      <c r="J15" s="24">
        <f>ROUND(F15*G15,2)</f>
        <v>0</v>
      </c>
      <c r="K15" s="25" t="s">
        <v>63</v>
      </c>
      <c r="Z15" s="24">
        <f>ROUND(IF(AQ15="5",BJ15,0),2)</f>
        <v>0</v>
      </c>
      <c r="AB15" s="24">
        <f>ROUND(IF(AQ15="1",BH15,0),2)</f>
        <v>0</v>
      </c>
      <c r="AC15" s="24">
        <f>ROUND(IF(AQ15="1",BI15,0),2)</f>
        <v>0</v>
      </c>
      <c r="AD15" s="24">
        <f>ROUND(IF(AQ15="7",BH15,0),2)</f>
        <v>0</v>
      </c>
      <c r="AE15" s="24">
        <f>ROUND(IF(AQ15="7",BI15,0),2)</f>
        <v>0</v>
      </c>
      <c r="AF15" s="24">
        <f>ROUND(IF(AQ15="2",BH15,0),2)</f>
        <v>0</v>
      </c>
      <c r="AG15" s="24">
        <f>ROUND(IF(AQ15="2",BI15,0),2)</f>
        <v>0</v>
      </c>
      <c r="AH15" s="24">
        <f>ROUND(IF(AQ15="0",BJ15,0),2)</f>
        <v>0</v>
      </c>
      <c r="AI15" s="10" t="s">
        <v>47</v>
      </c>
      <c r="AJ15" s="24">
        <f>IF(AN15=0,J15,0)</f>
        <v>0</v>
      </c>
      <c r="AK15" s="24">
        <f>IF(AN15=12,J15,0)</f>
        <v>0</v>
      </c>
      <c r="AL15" s="24">
        <f>IF(AN15=21,J15,0)</f>
        <v>0</v>
      </c>
      <c r="AN15" s="24">
        <v>21</v>
      </c>
      <c r="AO15" s="24">
        <f>G15*0</f>
        <v>0</v>
      </c>
      <c r="AP15" s="24">
        <f>G15*(1-0)</f>
        <v>0</v>
      </c>
      <c r="AQ15" s="26" t="s">
        <v>50</v>
      </c>
      <c r="AV15" s="24">
        <f>ROUND(AW15+AX15,2)</f>
        <v>0</v>
      </c>
      <c r="AW15" s="24">
        <f>ROUND(F15*AO15,2)</f>
        <v>0</v>
      </c>
      <c r="AX15" s="24">
        <f>ROUND(F15*AP15,2)</f>
        <v>0</v>
      </c>
      <c r="AY15" s="26" t="s">
        <v>64</v>
      </c>
      <c r="AZ15" s="26" t="s">
        <v>64</v>
      </c>
      <c r="BA15" s="10" t="s">
        <v>55</v>
      </c>
      <c r="BC15" s="24">
        <f>AW15+AX15</f>
        <v>0</v>
      </c>
      <c r="BD15" s="24">
        <f>G15/(100-BE15)*100</f>
        <v>0</v>
      </c>
      <c r="BE15" s="24">
        <v>0</v>
      </c>
      <c r="BF15" s="24">
        <f>15</f>
        <v>15</v>
      </c>
      <c r="BH15" s="24">
        <f>F15*AO15</f>
        <v>0</v>
      </c>
      <c r="BI15" s="24">
        <f>F15*AP15</f>
        <v>0</v>
      </c>
      <c r="BJ15" s="24">
        <f>F15*G15</f>
        <v>0</v>
      </c>
      <c r="BK15" s="26" t="s">
        <v>56</v>
      </c>
      <c r="BL15" s="24">
        <v>11</v>
      </c>
      <c r="BW15" s="24">
        <v>21</v>
      </c>
      <c r="BX15" s="4" t="s">
        <v>61</v>
      </c>
    </row>
    <row r="16" spans="1:76" x14ac:dyDescent="0.25">
      <c r="A16" s="27" t="s">
        <v>47</v>
      </c>
      <c r="B16" s="28" t="s">
        <v>65</v>
      </c>
      <c r="C16" s="89" t="s">
        <v>66</v>
      </c>
      <c r="D16" s="90"/>
      <c r="E16" s="29" t="s">
        <v>28</v>
      </c>
      <c r="F16" s="29" t="s">
        <v>28</v>
      </c>
      <c r="G16" s="29" t="s">
        <v>28</v>
      </c>
      <c r="H16" s="1">
        <f>ROUND(SUM(H17:H18),2)</f>
        <v>0</v>
      </c>
      <c r="I16" s="1">
        <f>ROUND(SUM(I17:I18),2)</f>
        <v>0</v>
      </c>
      <c r="J16" s="1">
        <f>ROUND(SUM(J17:J18),2)</f>
        <v>0</v>
      </c>
      <c r="K16" s="30" t="s">
        <v>47</v>
      </c>
      <c r="AI16" s="10" t="s">
        <v>47</v>
      </c>
      <c r="AS16" s="1">
        <f>SUM(AJ17:AJ18)</f>
        <v>0</v>
      </c>
      <c r="AT16" s="1">
        <f>SUM(AK17:AK18)</f>
        <v>0</v>
      </c>
      <c r="AU16" s="1">
        <f>SUM(AL17:AL18)</f>
        <v>0</v>
      </c>
    </row>
    <row r="17" spans="1:76" x14ac:dyDescent="0.25">
      <c r="A17" s="2" t="s">
        <v>67</v>
      </c>
      <c r="B17" s="3" t="s">
        <v>68</v>
      </c>
      <c r="C17" s="71" t="s">
        <v>69</v>
      </c>
      <c r="D17" s="66"/>
      <c r="E17" s="3" t="s">
        <v>70</v>
      </c>
      <c r="F17" s="24">
        <v>36.9</v>
      </c>
      <c r="G17" s="59">
        <v>0</v>
      </c>
      <c r="H17" s="24">
        <f>ROUND(F17*AO17,2)</f>
        <v>0</v>
      </c>
      <c r="I17" s="24">
        <f>ROUND(F17*AP17,2)</f>
        <v>0</v>
      </c>
      <c r="J17" s="24">
        <f>ROUND(F17*G17,2)</f>
        <v>0</v>
      </c>
      <c r="K17" s="25" t="s">
        <v>63</v>
      </c>
      <c r="Z17" s="24">
        <f>ROUND(IF(AQ17="5",BJ17,0),2)</f>
        <v>0</v>
      </c>
      <c r="AB17" s="24">
        <f>ROUND(IF(AQ17="1",BH17,0),2)</f>
        <v>0</v>
      </c>
      <c r="AC17" s="24">
        <f>ROUND(IF(AQ17="1",BI17,0),2)</f>
        <v>0</v>
      </c>
      <c r="AD17" s="24">
        <f>ROUND(IF(AQ17="7",BH17,0),2)</f>
        <v>0</v>
      </c>
      <c r="AE17" s="24">
        <f>ROUND(IF(AQ17="7",BI17,0),2)</f>
        <v>0</v>
      </c>
      <c r="AF17" s="24">
        <f>ROUND(IF(AQ17="2",BH17,0),2)</f>
        <v>0</v>
      </c>
      <c r="AG17" s="24">
        <f>ROUND(IF(AQ17="2",BI17,0),2)</f>
        <v>0</v>
      </c>
      <c r="AH17" s="24">
        <f>ROUND(IF(AQ17="0",BJ17,0),2)</f>
        <v>0</v>
      </c>
      <c r="AI17" s="10" t="s">
        <v>47</v>
      </c>
      <c r="AJ17" s="24">
        <f>IF(AN17=0,J17,0)</f>
        <v>0</v>
      </c>
      <c r="AK17" s="24">
        <f>IF(AN17=12,J17,0)</f>
        <v>0</v>
      </c>
      <c r="AL17" s="24">
        <f>IF(AN17=21,J17,0)</f>
        <v>0</v>
      </c>
      <c r="AN17" s="24">
        <v>21</v>
      </c>
      <c r="AO17" s="24">
        <f>G17*0</f>
        <v>0</v>
      </c>
      <c r="AP17" s="24">
        <f>G17*(1-0)</f>
        <v>0</v>
      </c>
      <c r="AQ17" s="26" t="s">
        <v>50</v>
      </c>
      <c r="AV17" s="24">
        <f>ROUND(AW17+AX17,2)</f>
        <v>0</v>
      </c>
      <c r="AW17" s="24">
        <f>ROUND(F17*AO17,2)</f>
        <v>0</v>
      </c>
      <c r="AX17" s="24">
        <f>ROUND(F17*AP17,2)</f>
        <v>0</v>
      </c>
      <c r="AY17" s="26" t="s">
        <v>71</v>
      </c>
      <c r="AZ17" s="26" t="s">
        <v>71</v>
      </c>
      <c r="BA17" s="10" t="s">
        <v>55</v>
      </c>
      <c r="BC17" s="24">
        <f>AW17+AX17</f>
        <v>0</v>
      </c>
      <c r="BD17" s="24">
        <f>G17/(100-BE17)*100</f>
        <v>0</v>
      </c>
      <c r="BE17" s="24">
        <v>0</v>
      </c>
      <c r="BF17" s="24">
        <f>17</f>
        <v>17</v>
      </c>
      <c r="BH17" s="24">
        <f>F17*AO17</f>
        <v>0</v>
      </c>
      <c r="BI17" s="24">
        <f>F17*AP17</f>
        <v>0</v>
      </c>
      <c r="BJ17" s="24">
        <f>F17*G17</f>
        <v>0</v>
      </c>
      <c r="BK17" s="26" t="s">
        <v>56</v>
      </c>
      <c r="BL17" s="24">
        <v>12</v>
      </c>
      <c r="BW17" s="24">
        <v>21</v>
      </c>
      <c r="BX17" s="4" t="s">
        <v>69</v>
      </c>
    </row>
    <row r="18" spans="1:76" x14ac:dyDescent="0.25">
      <c r="A18" s="2" t="s">
        <v>72</v>
      </c>
      <c r="B18" s="3" t="s">
        <v>68</v>
      </c>
      <c r="C18" s="71" t="s">
        <v>73</v>
      </c>
      <c r="D18" s="66"/>
      <c r="E18" s="3" t="s">
        <v>70</v>
      </c>
      <c r="F18" s="24">
        <v>18.5</v>
      </c>
      <c r="G18" s="59">
        <v>0</v>
      </c>
      <c r="H18" s="24">
        <f>ROUND(F18*AO18,2)</f>
        <v>0</v>
      </c>
      <c r="I18" s="24">
        <f>ROUND(F18*AP18,2)</f>
        <v>0</v>
      </c>
      <c r="J18" s="24">
        <f>ROUND(F18*G18,2)</f>
        <v>0</v>
      </c>
      <c r="K18" s="25" t="s">
        <v>63</v>
      </c>
      <c r="Z18" s="24">
        <f>ROUND(IF(AQ18="5",BJ18,0),2)</f>
        <v>0</v>
      </c>
      <c r="AB18" s="24">
        <f>ROUND(IF(AQ18="1",BH18,0),2)</f>
        <v>0</v>
      </c>
      <c r="AC18" s="24">
        <f>ROUND(IF(AQ18="1",BI18,0),2)</f>
        <v>0</v>
      </c>
      <c r="AD18" s="24">
        <f>ROUND(IF(AQ18="7",BH18,0),2)</f>
        <v>0</v>
      </c>
      <c r="AE18" s="24">
        <f>ROUND(IF(AQ18="7",BI18,0),2)</f>
        <v>0</v>
      </c>
      <c r="AF18" s="24">
        <f>ROUND(IF(AQ18="2",BH18,0),2)</f>
        <v>0</v>
      </c>
      <c r="AG18" s="24">
        <f>ROUND(IF(AQ18="2",BI18,0),2)</f>
        <v>0</v>
      </c>
      <c r="AH18" s="24">
        <f>ROUND(IF(AQ18="0",BJ18,0),2)</f>
        <v>0</v>
      </c>
      <c r="AI18" s="10" t="s">
        <v>47</v>
      </c>
      <c r="AJ18" s="24">
        <f>IF(AN18=0,J18,0)</f>
        <v>0</v>
      </c>
      <c r="AK18" s="24">
        <f>IF(AN18=12,J18,0)</f>
        <v>0</v>
      </c>
      <c r="AL18" s="24">
        <f>IF(AN18=21,J18,0)</f>
        <v>0</v>
      </c>
      <c r="AN18" s="24">
        <v>21</v>
      </c>
      <c r="AO18" s="24">
        <f>G18*0</f>
        <v>0</v>
      </c>
      <c r="AP18" s="24">
        <f>G18*(1-0)</f>
        <v>0</v>
      </c>
      <c r="AQ18" s="26" t="s">
        <v>50</v>
      </c>
      <c r="AV18" s="24">
        <f>ROUND(AW18+AX18,2)</f>
        <v>0</v>
      </c>
      <c r="AW18" s="24">
        <f>ROUND(F18*AO18,2)</f>
        <v>0</v>
      </c>
      <c r="AX18" s="24">
        <f>ROUND(F18*AP18,2)</f>
        <v>0</v>
      </c>
      <c r="AY18" s="26" t="s">
        <v>71</v>
      </c>
      <c r="AZ18" s="26" t="s">
        <v>71</v>
      </c>
      <c r="BA18" s="10" t="s">
        <v>55</v>
      </c>
      <c r="BC18" s="24">
        <f>AW18+AX18</f>
        <v>0</v>
      </c>
      <c r="BD18" s="24">
        <f>G18/(100-BE18)*100</f>
        <v>0</v>
      </c>
      <c r="BE18" s="24">
        <v>0</v>
      </c>
      <c r="BF18" s="24">
        <f>18</f>
        <v>18</v>
      </c>
      <c r="BH18" s="24">
        <f>F18*AO18</f>
        <v>0</v>
      </c>
      <c r="BI18" s="24">
        <f>F18*AP18</f>
        <v>0</v>
      </c>
      <c r="BJ18" s="24">
        <f>F18*G18</f>
        <v>0</v>
      </c>
      <c r="BK18" s="26" t="s">
        <v>56</v>
      </c>
      <c r="BL18" s="24">
        <v>12</v>
      </c>
      <c r="BW18" s="24">
        <v>21</v>
      </c>
      <c r="BX18" s="4" t="s">
        <v>73</v>
      </c>
    </row>
    <row r="19" spans="1:76" x14ac:dyDescent="0.25">
      <c r="A19" s="27" t="s">
        <v>47</v>
      </c>
      <c r="B19" s="28" t="s">
        <v>74</v>
      </c>
      <c r="C19" s="89" t="s">
        <v>75</v>
      </c>
      <c r="D19" s="90"/>
      <c r="E19" s="29" t="s">
        <v>28</v>
      </c>
      <c r="F19" s="29" t="s">
        <v>28</v>
      </c>
      <c r="G19" s="29" t="s">
        <v>28</v>
      </c>
      <c r="H19" s="1">
        <f>ROUND(SUM(H20:H23),2)</f>
        <v>0</v>
      </c>
      <c r="I19" s="1">
        <f>ROUND(SUM(I20:I23),2)</f>
        <v>0</v>
      </c>
      <c r="J19" s="1">
        <f>ROUND(SUM(J20:J23),2)</f>
        <v>0</v>
      </c>
      <c r="K19" s="30" t="s">
        <v>47</v>
      </c>
      <c r="AI19" s="10" t="s">
        <v>47</v>
      </c>
      <c r="AS19" s="1">
        <f>SUM(AJ20:AJ23)</f>
        <v>0</v>
      </c>
      <c r="AT19" s="1">
        <f>SUM(AK20:AK23)</f>
        <v>0</v>
      </c>
      <c r="AU19" s="1">
        <f>SUM(AL20:AL23)</f>
        <v>0</v>
      </c>
    </row>
    <row r="20" spans="1:76" ht="25.5" x14ac:dyDescent="0.25">
      <c r="A20" s="2" t="s">
        <v>76</v>
      </c>
      <c r="B20" s="3" t="s">
        <v>77</v>
      </c>
      <c r="C20" s="71" t="s">
        <v>78</v>
      </c>
      <c r="D20" s="66"/>
      <c r="E20" s="3" t="s">
        <v>70</v>
      </c>
      <c r="F20" s="24">
        <v>36.9</v>
      </c>
      <c r="G20" s="59">
        <v>0</v>
      </c>
      <c r="H20" s="24">
        <f>ROUND(F20*AO20,2)</f>
        <v>0</v>
      </c>
      <c r="I20" s="24">
        <f>ROUND(F20*AP20,2)</f>
        <v>0</v>
      </c>
      <c r="J20" s="24">
        <f>ROUND(F20*G20,2)</f>
        <v>0</v>
      </c>
      <c r="K20" s="25" t="s">
        <v>63</v>
      </c>
      <c r="Z20" s="24">
        <f>ROUND(IF(AQ20="5",BJ20,0),2)</f>
        <v>0</v>
      </c>
      <c r="AB20" s="24">
        <f>ROUND(IF(AQ20="1",BH20,0),2)</f>
        <v>0</v>
      </c>
      <c r="AC20" s="24">
        <f>ROUND(IF(AQ20="1",BI20,0),2)</f>
        <v>0</v>
      </c>
      <c r="AD20" s="24">
        <f>ROUND(IF(AQ20="7",BH20,0),2)</f>
        <v>0</v>
      </c>
      <c r="AE20" s="24">
        <f>ROUND(IF(AQ20="7",BI20,0),2)</f>
        <v>0</v>
      </c>
      <c r="AF20" s="24">
        <f>ROUND(IF(AQ20="2",BH20,0),2)</f>
        <v>0</v>
      </c>
      <c r="AG20" s="24">
        <f>ROUND(IF(AQ20="2",BI20,0),2)</f>
        <v>0</v>
      </c>
      <c r="AH20" s="24">
        <f>ROUND(IF(AQ20="0",BJ20,0),2)</f>
        <v>0</v>
      </c>
      <c r="AI20" s="10" t="s">
        <v>47</v>
      </c>
      <c r="AJ20" s="24">
        <f>IF(AN20=0,J20,0)</f>
        <v>0</v>
      </c>
      <c r="AK20" s="24">
        <f>IF(AN20=12,J20,0)</f>
        <v>0</v>
      </c>
      <c r="AL20" s="24">
        <f>IF(AN20=21,J20,0)</f>
        <v>0</v>
      </c>
      <c r="AN20" s="24">
        <v>21</v>
      </c>
      <c r="AO20" s="24">
        <f>G20*0</f>
        <v>0</v>
      </c>
      <c r="AP20" s="24">
        <f>G20*(1-0)</f>
        <v>0</v>
      </c>
      <c r="AQ20" s="26" t="s">
        <v>50</v>
      </c>
      <c r="AV20" s="24">
        <f>ROUND(AW20+AX20,2)</f>
        <v>0</v>
      </c>
      <c r="AW20" s="24">
        <f>ROUND(F20*AO20,2)</f>
        <v>0</v>
      </c>
      <c r="AX20" s="24">
        <f>ROUND(F20*AP20,2)</f>
        <v>0</v>
      </c>
      <c r="AY20" s="26" t="s">
        <v>79</v>
      </c>
      <c r="AZ20" s="26" t="s">
        <v>79</v>
      </c>
      <c r="BA20" s="10" t="s">
        <v>55</v>
      </c>
      <c r="BC20" s="24">
        <f>AW20+AX20</f>
        <v>0</v>
      </c>
      <c r="BD20" s="24">
        <f>G20/(100-BE20)*100</f>
        <v>0</v>
      </c>
      <c r="BE20" s="24">
        <v>0</v>
      </c>
      <c r="BF20" s="24">
        <f>20</f>
        <v>20</v>
      </c>
      <c r="BH20" s="24">
        <f>F20*AO20</f>
        <v>0</v>
      </c>
      <c r="BI20" s="24">
        <f>F20*AP20</f>
        <v>0</v>
      </c>
      <c r="BJ20" s="24">
        <f>F20*G20</f>
        <v>0</v>
      </c>
      <c r="BK20" s="26" t="s">
        <v>56</v>
      </c>
      <c r="BL20" s="24">
        <v>16</v>
      </c>
      <c r="BW20" s="24">
        <v>21</v>
      </c>
      <c r="BX20" s="4" t="s">
        <v>78</v>
      </c>
    </row>
    <row r="21" spans="1:76" ht="25.5" x14ac:dyDescent="0.25">
      <c r="A21" s="2" t="s">
        <v>80</v>
      </c>
      <c r="B21" s="3" t="s">
        <v>81</v>
      </c>
      <c r="C21" s="71" t="s">
        <v>82</v>
      </c>
      <c r="D21" s="66"/>
      <c r="E21" s="3" t="s">
        <v>70</v>
      </c>
      <c r="F21" s="24">
        <v>627.29999999999995</v>
      </c>
      <c r="G21" s="59">
        <v>0</v>
      </c>
      <c r="H21" s="24">
        <f>ROUND(F21*AO21,2)</f>
        <v>0</v>
      </c>
      <c r="I21" s="24">
        <f>ROUND(F21*AP21,2)</f>
        <v>0</v>
      </c>
      <c r="J21" s="24">
        <f>ROUND(F21*G21,2)</f>
        <v>0</v>
      </c>
      <c r="K21" s="25" t="s">
        <v>63</v>
      </c>
      <c r="Z21" s="24">
        <f>ROUND(IF(AQ21="5",BJ21,0),2)</f>
        <v>0</v>
      </c>
      <c r="AB21" s="24">
        <f>ROUND(IF(AQ21="1",BH21,0),2)</f>
        <v>0</v>
      </c>
      <c r="AC21" s="24">
        <f>ROUND(IF(AQ21="1",BI21,0),2)</f>
        <v>0</v>
      </c>
      <c r="AD21" s="24">
        <f>ROUND(IF(AQ21="7",BH21,0),2)</f>
        <v>0</v>
      </c>
      <c r="AE21" s="24">
        <f>ROUND(IF(AQ21="7",BI21,0),2)</f>
        <v>0</v>
      </c>
      <c r="AF21" s="24">
        <f>ROUND(IF(AQ21="2",BH21,0),2)</f>
        <v>0</v>
      </c>
      <c r="AG21" s="24">
        <f>ROUND(IF(AQ21="2",BI21,0),2)</f>
        <v>0</v>
      </c>
      <c r="AH21" s="24">
        <f>ROUND(IF(AQ21="0",BJ21,0),2)</f>
        <v>0</v>
      </c>
      <c r="AI21" s="10" t="s">
        <v>47</v>
      </c>
      <c r="AJ21" s="24">
        <f>IF(AN21=0,J21,0)</f>
        <v>0</v>
      </c>
      <c r="AK21" s="24">
        <f>IF(AN21=12,J21,0)</f>
        <v>0</v>
      </c>
      <c r="AL21" s="24">
        <f>IF(AN21=21,J21,0)</f>
        <v>0</v>
      </c>
      <c r="AN21" s="24">
        <v>21</v>
      </c>
      <c r="AO21" s="24">
        <f>G21*0</f>
        <v>0</v>
      </c>
      <c r="AP21" s="24">
        <f>G21*(1-0)</f>
        <v>0</v>
      </c>
      <c r="AQ21" s="26" t="s">
        <v>50</v>
      </c>
      <c r="AV21" s="24">
        <f>ROUND(AW21+AX21,2)</f>
        <v>0</v>
      </c>
      <c r="AW21" s="24">
        <f>ROUND(F21*AO21,2)</f>
        <v>0</v>
      </c>
      <c r="AX21" s="24">
        <f>ROUND(F21*AP21,2)</f>
        <v>0</v>
      </c>
      <c r="AY21" s="26" t="s">
        <v>79</v>
      </c>
      <c r="AZ21" s="26" t="s">
        <v>79</v>
      </c>
      <c r="BA21" s="10" t="s">
        <v>55</v>
      </c>
      <c r="BC21" s="24">
        <f>AW21+AX21</f>
        <v>0</v>
      </c>
      <c r="BD21" s="24">
        <f>G21/(100-BE21)*100</f>
        <v>0</v>
      </c>
      <c r="BE21" s="24">
        <v>0</v>
      </c>
      <c r="BF21" s="24">
        <f>21</f>
        <v>21</v>
      </c>
      <c r="BH21" s="24">
        <f>F21*AO21</f>
        <v>0</v>
      </c>
      <c r="BI21" s="24">
        <f>F21*AP21</f>
        <v>0</v>
      </c>
      <c r="BJ21" s="24">
        <f>F21*G21</f>
        <v>0</v>
      </c>
      <c r="BK21" s="26" t="s">
        <v>56</v>
      </c>
      <c r="BL21" s="24">
        <v>16</v>
      </c>
      <c r="BW21" s="24">
        <v>21</v>
      </c>
      <c r="BX21" s="4" t="s">
        <v>82</v>
      </c>
    </row>
    <row r="22" spans="1:76" ht="25.5" x14ac:dyDescent="0.25">
      <c r="A22" s="2" t="s">
        <v>83</v>
      </c>
      <c r="B22" s="3" t="s">
        <v>77</v>
      </c>
      <c r="C22" s="71" t="s">
        <v>84</v>
      </c>
      <c r="D22" s="66"/>
      <c r="E22" s="3" t="s">
        <v>70</v>
      </c>
      <c r="F22" s="24">
        <v>18.5</v>
      </c>
      <c r="G22" s="59">
        <v>0</v>
      </c>
      <c r="H22" s="24">
        <f>ROUND(F22*AO22,2)</f>
        <v>0</v>
      </c>
      <c r="I22" s="24">
        <f>ROUND(F22*AP22,2)</f>
        <v>0</v>
      </c>
      <c r="J22" s="24">
        <f>ROUND(F22*G22,2)</f>
        <v>0</v>
      </c>
      <c r="K22" s="25" t="s">
        <v>63</v>
      </c>
      <c r="Z22" s="24">
        <f>ROUND(IF(AQ22="5",BJ22,0),2)</f>
        <v>0</v>
      </c>
      <c r="AB22" s="24">
        <f>ROUND(IF(AQ22="1",BH22,0),2)</f>
        <v>0</v>
      </c>
      <c r="AC22" s="24">
        <f>ROUND(IF(AQ22="1",BI22,0),2)</f>
        <v>0</v>
      </c>
      <c r="AD22" s="24">
        <f>ROUND(IF(AQ22="7",BH22,0),2)</f>
        <v>0</v>
      </c>
      <c r="AE22" s="24">
        <f>ROUND(IF(AQ22="7",BI22,0),2)</f>
        <v>0</v>
      </c>
      <c r="AF22" s="24">
        <f>ROUND(IF(AQ22="2",BH22,0),2)</f>
        <v>0</v>
      </c>
      <c r="AG22" s="24">
        <f>ROUND(IF(AQ22="2",BI22,0),2)</f>
        <v>0</v>
      </c>
      <c r="AH22" s="24">
        <f>ROUND(IF(AQ22="0",BJ22,0),2)</f>
        <v>0</v>
      </c>
      <c r="AI22" s="10" t="s">
        <v>47</v>
      </c>
      <c r="AJ22" s="24">
        <f>IF(AN22=0,J22,0)</f>
        <v>0</v>
      </c>
      <c r="AK22" s="24">
        <f>IF(AN22=12,J22,0)</f>
        <v>0</v>
      </c>
      <c r="AL22" s="24">
        <f>IF(AN22=21,J22,0)</f>
        <v>0</v>
      </c>
      <c r="AN22" s="24">
        <v>21</v>
      </c>
      <c r="AO22" s="24">
        <f>G22*0</f>
        <v>0</v>
      </c>
      <c r="AP22" s="24">
        <f>G22*(1-0)</f>
        <v>0</v>
      </c>
      <c r="AQ22" s="26" t="s">
        <v>50</v>
      </c>
      <c r="AV22" s="24">
        <f>ROUND(AW22+AX22,2)</f>
        <v>0</v>
      </c>
      <c r="AW22" s="24">
        <f>ROUND(F22*AO22,2)</f>
        <v>0</v>
      </c>
      <c r="AX22" s="24">
        <f>ROUND(F22*AP22,2)</f>
        <v>0</v>
      </c>
      <c r="AY22" s="26" t="s">
        <v>79</v>
      </c>
      <c r="AZ22" s="26" t="s">
        <v>79</v>
      </c>
      <c r="BA22" s="10" t="s">
        <v>55</v>
      </c>
      <c r="BC22" s="24">
        <f>AW22+AX22</f>
        <v>0</v>
      </c>
      <c r="BD22" s="24">
        <f>G22/(100-BE22)*100</f>
        <v>0</v>
      </c>
      <c r="BE22" s="24">
        <v>0</v>
      </c>
      <c r="BF22" s="24">
        <f>22</f>
        <v>22</v>
      </c>
      <c r="BH22" s="24">
        <f>F22*AO22</f>
        <v>0</v>
      </c>
      <c r="BI22" s="24">
        <f>F22*AP22</f>
        <v>0</v>
      </c>
      <c r="BJ22" s="24">
        <f>F22*G22</f>
        <v>0</v>
      </c>
      <c r="BK22" s="26" t="s">
        <v>56</v>
      </c>
      <c r="BL22" s="24">
        <v>16</v>
      </c>
      <c r="BW22" s="24">
        <v>21</v>
      </c>
      <c r="BX22" s="4" t="s">
        <v>84</v>
      </c>
    </row>
    <row r="23" spans="1:76" ht="25.5" x14ac:dyDescent="0.25">
      <c r="A23" s="2" t="s">
        <v>85</v>
      </c>
      <c r="B23" s="3" t="s">
        <v>81</v>
      </c>
      <c r="C23" s="71" t="s">
        <v>86</v>
      </c>
      <c r="D23" s="66"/>
      <c r="E23" s="3" t="s">
        <v>70</v>
      </c>
      <c r="F23" s="24">
        <v>314.5</v>
      </c>
      <c r="G23" s="59">
        <v>0</v>
      </c>
      <c r="H23" s="24">
        <f>ROUND(F23*AO23,2)</f>
        <v>0</v>
      </c>
      <c r="I23" s="24">
        <f>ROUND(F23*AP23,2)</f>
        <v>0</v>
      </c>
      <c r="J23" s="24">
        <f>ROUND(F23*G23,2)</f>
        <v>0</v>
      </c>
      <c r="K23" s="25" t="s">
        <v>63</v>
      </c>
      <c r="Z23" s="24">
        <f>ROUND(IF(AQ23="5",BJ23,0),2)</f>
        <v>0</v>
      </c>
      <c r="AB23" s="24">
        <f>ROUND(IF(AQ23="1",BH23,0),2)</f>
        <v>0</v>
      </c>
      <c r="AC23" s="24">
        <f>ROUND(IF(AQ23="1",BI23,0),2)</f>
        <v>0</v>
      </c>
      <c r="AD23" s="24">
        <f>ROUND(IF(AQ23="7",BH23,0),2)</f>
        <v>0</v>
      </c>
      <c r="AE23" s="24">
        <f>ROUND(IF(AQ23="7",BI23,0),2)</f>
        <v>0</v>
      </c>
      <c r="AF23" s="24">
        <f>ROUND(IF(AQ23="2",BH23,0),2)</f>
        <v>0</v>
      </c>
      <c r="AG23" s="24">
        <f>ROUND(IF(AQ23="2",BI23,0),2)</f>
        <v>0</v>
      </c>
      <c r="AH23" s="24">
        <f>ROUND(IF(AQ23="0",BJ23,0),2)</f>
        <v>0</v>
      </c>
      <c r="AI23" s="10" t="s">
        <v>47</v>
      </c>
      <c r="AJ23" s="24">
        <f>IF(AN23=0,J23,0)</f>
        <v>0</v>
      </c>
      <c r="AK23" s="24">
        <f>IF(AN23=12,J23,0)</f>
        <v>0</v>
      </c>
      <c r="AL23" s="24">
        <f>IF(AN23=21,J23,0)</f>
        <v>0</v>
      </c>
      <c r="AN23" s="24">
        <v>21</v>
      </c>
      <c r="AO23" s="24">
        <f>G23*0</f>
        <v>0</v>
      </c>
      <c r="AP23" s="24">
        <f>G23*(1-0)</f>
        <v>0</v>
      </c>
      <c r="AQ23" s="26" t="s">
        <v>50</v>
      </c>
      <c r="AV23" s="24">
        <f>ROUND(AW23+AX23,2)</f>
        <v>0</v>
      </c>
      <c r="AW23" s="24">
        <f>ROUND(F23*AO23,2)</f>
        <v>0</v>
      </c>
      <c r="AX23" s="24">
        <f>ROUND(F23*AP23,2)</f>
        <v>0</v>
      </c>
      <c r="AY23" s="26" t="s">
        <v>79</v>
      </c>
      <c r="AZ23" s="26" t="s">
        <v>79</v>
      </c>
      <c r="BA23" s="10" t="s">
        <v>55</v>
      </c>
      <c r="BC23" s="24">
        <f>AW23+AX23</f>
        <v>0</v>
      </c>
      <c r="BD23" s="24">
        <f>G23/(100-BE23)*100</f>
        <v>0</v>
      </c>
      <c r="BE23" s="24">
        <v>0</v>
      </c>
      <c r="BF23" s="24">
        <f>23</f>
        <v>23</v>
      </c>
      <c r="BH23" s="24">
        <f>F23*AO23</f>
        <v>0</v>
      </c>
      <c r="BI23" s="24">
        <f>F23*AP23</f>
        <v>0</v>
      </c>
      <c r="BJ23" s="24">
        <f>F23*G23</f>
        <v>0</v>
      </c>
      <c r="BK23" s="26" t="s">
        <v>56</v>
      </c>
      <c r="BL23" s="24">
        <v>16</v>
      </c>
      <c r="BW23" s="24">
        <v>21</v>
      </c>
      <c r="BX23" s="4" t="s">
        <v>86</v>
      </c>
    </row>
    <row r="24" spans="1:76" x14ac:dyDescent="0.25">
      <c r="A24" s="27" t="s">
        <v>47</v>
      </c>
      <c r="B24" s="28" t="s">
        <v>87</v>
      </c>
      <c r="C24" s="89" t="s">
        <v>88</v>
      </c>
      <c r="D24" s="90"/>
      <c r="E24" s="29" t="s">
        <v>28</v>
      </c>
      <c r="F24" s="29" t="s">
        <v>28</v>
      </c>
      <c r="G24" s="29" t="s">
        <v>28</v>
      </c>
      <c r="H24" s="1">
        <f>ROUND(SUM(H25:H28),2)</f>
        <v>0</v>
      </c>
      <c r="I24" s="1">
        <f>ROUND(SUM(I25:I28),2)</f>
        <v>0</v>
      </c>
      <c r="J24" s="1">
        <f>ROUND(SUM(J25:J28),2)</f>
        <v>0</v>
      </c>
      <c r="K24" s="30" t="s">
        <v>47</v>
      </c>
      <c r="AI24" s="10" t="s">
        <v>47</v>
      </c>
      <c r="AS24" s="1">
        <f>SUM(AJ25:AJ28)</f>
        <v>0</v>
      </c>
      <c r="AT24" s="1">
        <f>SUM(AK25:AK28)</f>
        <v>0</v>
      </c>
      <c r="AU24" s="1">
        <f>SUM(AL25:AL28)</f>
        <v>0</v>
      </c>
    </row>
    <row r="25" spans="1:76" x14ac:dyDescent="0.25">
      <c r="A25" s="2" t="s">
        <v>89</v>
      </c>
      <c r="B25" s="3" t="s">
        <v>90</v>
      </c>
      <c r="C25" s="71" t="s">
        <v>91</v>
      </c>
      <c r="D25" s="66"/>
      <c r="E25" s="3" t="s">
        <v>62</v>
      </c>
      <c r="F25" s="24">
        <v>9.3000000000000007</v>
      </c>
      <c r="G25" s="59">
        <v>0</v>
      </c>
      <c r="H25" s="24">
        <f>ROUND(F25*AO25,2)</f>
        <v>0</v>
      </c>
      <c r="I25" s="24">
        <f>ROUND(F25*AP25,2)</f>
        <v>0</v>
      </c>
      <c r="J25" s="24">
        <f>ROUND(F25*G25,2)</f>
        <v>0</v>
      </c>
      <c r="K25" s="25" t="s">
        <v>63</v>
      </c>
      <c r="Z25" s="24">
        <f>ROUND(IF(AQ25="5",BJ25,0),2)</f>
        <v>0</v>
      </c>
      <c r="AB25" s="24">
        <f>ROUND(IF(AQ25="1",BH25,0),2)</f>
        <v>0</v>
      </c>
      <c r="AC25" s="24">
        <f>ROUND(IF(AQ25="1",BI25,0),2)</f>
        <v>0</v>
      </c>
      <c r="AD25" s="24">
        <f>ROUND(IF(AQ25="7",BH25,0),2)</f>
        <v>0</v>
      </c>
      <c r="AE25" s="24">
        <f>ROUND(IF(AQ25="7",BI25,0),2)</f>
        <v>0</v>
      </c>
      <c r="AF25" s="24">
        <f>ROUND(IF(AQ25="2",BH25,0),2)</f>
        <v>0</v>
      </c>
      <c r="AG25" s="24">
        <f>ROUND(IF(AQ25="2",BI25,0),2)</f>
        <v>0</v>
      </c>
      <c r="AH25" s="24">
        <f>ROUND(IF(AQ25="0",BJ25,0),2)</f>
        <v>0</v>
      </c>
      <c r="AI25" s="10" t="s">
        <v>47</v>
      </c>
      <c r="AJ25" s="24">
        <f>IF(AN25=0,J25,0)</f>
        <v>0</v>
      </c>
      <c r="AK25" s="24">
        <f>IF(AN25=12,J25,0)</f>
        <v>0</v>
      </c>
      <c r="AL25" s="24">
        <f>IF(AN25=21,J25,0)</f>
        <v>0</v>
      </c>
      <c r="AN25" s="24">
        <v>21</v>
      </c>
      <c r="AO25" s="24">
        <f>G25*0</f>
        <v>0</v>
      </c>
      <c r="AP25" s="24">
        <f>G25*(1-0)</f>
        <v>0</v>
      </c>
      <c r="AQ25" s="26" t="s">
        <v>50</v>
      </c>
      <c r="AV25" s="24">
        <f>ROUND(AW25+AX25,2)</f>
        <v>0</v>
      </c>
      <c r="AW25" s="24">
        <f>ROUND(F25*AO25,2)</f>
        <v>0</v>
      </c>
      <c r="AX25" s="24">
        <f>ROUND(F25*AP25,2)</f>
        <v>0</v>
      </c>
      <c r="AY25" s="26" t="s">
        <v>92</v>
      </c>
      <c r="AZ25" s="26" t="s">
        <v>92</v>
      </c>
      <c r="BA25" s="10" t="s">
        <v>55</v>
      </c>
      <c r="BC25" s="24">
        <f>AW25+AX25</f>
        <v>0</v>
      </c>
      <c r="BD25" s="24">
        <f>G25/(100-BE25)*100</f>
        <v>0</v>
      </c>
      <c r="BE25" s="24">
        <v>0</v>
      </c>
      <c r="BF25" s="24">
        <f>25</f>
        <v>25</v>
      </c>
      <c r="BH25" s="24">
        <f>F25*AO25</f>
        <v>0</v>
      </c>
      <c r="BI25" s="24">
        <f>F25*AP25</f>
        <v>0</v>
      </c>
      <c r="BJ25" s="24">
        <f>F25*G25</f>
        <v>0</v>
      </c>
      <c r="BK25" s="26" t="s">
        <v>56</v>
      </c>
      <c r="BL25" s="24">
        <v>18</v>
      </c>
      <c r="BW25" s="24">
        <v>21</v>
      </c>
      <c r="BX25" s="4" t="s">
        <v>91</v>
      </c>
    </row>
    <row r="26" spans="1:76" x14ac:dyDescent="0.25">
      <c r="A26" s="2" t="s">
        <v>93</v>
      </c>
      <c r="B26" s="3" t="s">
        <v>94</v>
      </c>
      <c r="C26" s="71" t="s">
        <v>95</v>
      </c>
      <c r="D26" s="66"/>
      <c r="E26" s="3" t="s">
        <v>62</v>
      </c>
      <c r="F26" s="24">
        <v>184.5</v>
      </c>
      <c r="G26" s="59">
        <v>0</v>
      </c>
      <c r="H26" s="24">
        <f>ROUND(F26*AO26,2)</f>
        <v>0</v>
      </c>
      <c r="I26" s="24">
        <f>ROUND(F26*AP26,2)</f>
        <v>0</v>
      </c>
      <c r="J26" s="24">
        <f>ROUND(F26*G26,2)</f>
        <v>0</v>
      </c>
      <c r="K26" s="25" t="s">
        <v>63</v>
      </c>
      <c r="Z26" s="24">
        <f>ROUND(IF(AQ26="5",BJ26,0),2)</f>
        <v>0</v>
      </c>
      <c r="AB26" s="24">
        <f>ROUND(IF(AQ26="1",BH26,0),2)</f>
        <v>0</v>
      </c>
      <c r="AC26" s="24">
        <f>ROUND(IF(AQ26="1",BI26,0),2)</f>
        <v>0</v>
      </c>
      <c r="AD26" s="24">
        <f>ROUND(IF(AQ26="7",BH26,0),2)</f>
        <v>0</v>
      </c>
      <c r="AE26" s="24">
        <f>ROUND(IF(AQ26="7",BI26,0),2)</f>
        <v>0</v>
      </c>
      <c r="AF26" s="24">
        <f>ROUND(IF(AQ26="2",BH26,0),2)</f>
        <v>0</v>
      </c>
      <c r="AG26" s="24">
        <f>ROUND(IF(AQ26="2",BI26,0),2)</f>
        <v>0</v>
      </c>
      <c r="AH26" s="24">
        <f>ROUND(IF(AQ26="0",BJ26,0),2)</f>
        <v>0</v>
      </c>
      <c r="AI26" s="10" t="s">
        <v>47</v>
      </c>
      <c r="AJ26" s="24">
        <f>IF(AN26=0,J26,0)</f>
        <v>0</v>
      </c>
      <c r="AK26" s="24">
        <f>IF(AN26=12,J26,0)</f>
        <v>0</v>
      </c>
      <c r="AL26" s="24">
        <f>IF(AN26=21,J26,0)</f>
        <v>0</v>
      </c>
      <c r="AN26" s="24">
        <v>21</v>
      </c>
      <c r="AO26" s="24">
        <f>G26*0</f>
        <v>0</v>
      </c>
      <c r="AP26" s="24">
        <f>G26*(1-0)</f>
        <v>0</v>
      </c>
      <c r="AQ26" s="26" t="s">
        <v>50</v>
      </c>
      <c r="AV26" s="24">
        <f>ROUND(AW26+AX26,2)</f>
        <v>0</v>
      </c>
      <c r="AW26" s="24">
        <f>ROUND(F26*AO26,2)</f>
        <v>0</v>
      </c>
      <c r="AX26" s="24">
        <f>ROUND(F26*AP26,2)</f>
        <v>0</v>
      </c>
      <c r="AY26" s="26" t="s">
        <v>92</v>
      </c>
      <c r="AZ26" s="26" t="s">
        <v>92</v>
      </c>
      <c r="BA26" s="10" t="s">
        <v>55</v>
      </c>
      <c r="BC26" s="24">
        <f>AW26+AX26</f>
        <v>0</v>
      </c>
      <c r="BD26" s="24">
        <f>G26/(100-BE26)*100</f>
        <v>0</v>
      </c>
      <c r="BE26" s="24">
        <v>0</v>
      </c>
      <c r="BF26" s="24">
        <f>26</f>
        <v>26</v>
      </c>
      <c r="BH26" s="24">
        <f>F26*AO26</f>
        <v>0</v>
      </c>
      <c r="BI26" s="24">
        <f>F26*AP26</f>
        <v>0</v>
      </c>
      <c r="BJ26" s="24">
        <f>F26*G26</f>
        <v>0</v>
      </c>
      <c r="BK26" s="26" t="s">
        <v>56</v>
      </c>
      <c r="BL26" s="24">
        <v>18</v>
      </c>
      <c r="BW26" s="24">
        <v>21</v>
      </c>
      <c r="BX26" s="4" t="s">
        <v>95</v>
      </c>
    </row>
    <row r="27" spans="1:76" x14ac:dyDescent="0.25">
      <c r="A27" s="2" t="s">
        <v>57</v>
      </c>
      <c r="B27" s="3" t="s">
        <v>96</v>
      </c>
      <c r="C27" s="71" t="s">
        <v>97</v>
      </c>
      <c r="D27" s="66"/>
      <c r="E27" s="3" t="s">
        <v>62</v>
      </c>
      <c r="F27" s="24">
        <v>9.3000000000000007</v>
      </c>
      <c r="G27" s="59">
        <v>0</v>
      </c>
      <c r="H27" s="24">
        <f>ROUND(F27*AO27,2)</f>
        <v>0</v>
      </c>
      <c r="I27" s="24">
        <f>ROUND(F27*AP27,2)</f>
        <v>0</v>
      </c>
      <c r="J27" s="24">
        <f>ROUND(F27*G27,2)</f>
        <v>0</v>
      </c>
      <c r="K27" s="25" t="s">
        <v>63</v>
      </c>
      <c r="Z27" s="24">
        <f>ROUND(IF(AQ27="5",BJ27,0),2)</f>
        <v>0</v>
      </c>
      <c r="AB27" s="24">
        <f>ROUND(IF(AQ27="1",BH27,0),2)</f>
        <v>0</v>
      </c>
      <c r="AC27" s="24">
        <f>ROUND(IF(AQ27="1",BI27,0),2)</f>
        <v>0</v>
      </c>
      <c r="AD27" s="24">
        <f>ROUND(IF(AQ27="7",BH27,0),2)</f>
        <v>0</v>
      </c>
      <c r="AE27" s="24">
        <f>ROUND(IF(AQ27="7",BI27,0),2)</f>
        <v>0</v>
      </c>
      <c r="AF27" s="24">
        <f>ROUND(IF(AQ27="2",BH27,0),2)</f>
        <v>0</v>
      </c>
      <c r="AG27" s="24">
        <f>ROUND(IF(AQ27="2",BI27,0),2)</f>
        <v>0</v>
      </c>
      <c r="AH27" s="24">
        <f>ROUND(IF(AQ27="0",BJ27,0),2)</f>
        <v>0</v>
      </c>
      <c r="AI27" s="10" t="s">
        <v>47</v>
      </c>
      <c r="AJ27" s="24">
        <f>IF(AN27=0,J27,0)</f>
        <v>0</v>
      </c>
      <c r="AK27" s="24">
        <f>IF(AN27=12,J27,0)</f>
        <v>0</v>
      </c>
      <c r="AL27" s="24">
        <f>IF(AN27=21,J27,0)</f>
        <v>0</v>
      </c>
      <c r="AN27" s="24">
        <v>21</v>
      </c>
      <c r="AO27" s="24">
        <f>G27*0.06686115</f>
        <v>0</v>
      </c>
      <c r="AP27" s="24">
        <f>G27*(1-0.06686115)</f>
        <v>0</v>
      </c>
      <c r="AQ27" s="26" t="s">
        <v>50</v>
      </c>
      <c r="AV27" s="24">
        <f>ROUND(AW27+AX27,2)</f>
        <v>0</v>
      </c>
      <c r="AW27" s="24">
        <f>ROUND(F27*AO27,2)</f>
        <v>0</v>
      </c>
      <c r="AX27" s="24">
        <f>ROUND(F27*AP27,2)</f>
        <v>0</v>
      </c>
      <c r="AY27" s="26" t="s">
        <v>92</v>
      </c>
      <c r="AZ27" s="26" t="s">
        <v>92</v>
      </c>
      <c r="BA27" s="10" t="s">
        <v>55</v>
      </c>
      <c r="BC27" s="24">
        <f>AW27+AX27</f>
        <v>0</v>
      </c>
      <c r="BD27" s="24">
        <f>G27/(100-BE27)*100</f>
        <v>0</v>
      </c>
      <c r="BE27" s="24">
        <v>0</v>
      </c>
      <c r="BF27" s="24">
        <f>27</f>
        <v>27</v>
      </c>
      <c r="BH27" s="24">
        <f>F27*AO27</f>
        <v>0</v>
      </c>
      <c r="BI27" s="24">
        <f>F27*AP27</f>
        <v>0</v>
      </c>
      <c r="BJ27" s="24">
        <f>F27*G27</f>
        <v>0</v>
      </c>
      <c r="BK27" s="26" t="s">
        <v>56</v>
      </c>
      <c r="BL27" s="24">
        <v>18</v>
      </c>
      <c r="BW27" s="24">
        <v>21</v>
      </c>
      <c r="BX27" s="4" t="s">
        <v>97</v>
      </c>
    </row>
    <row r="28" spans="1:76" x14ac:dyDescent="0.25">
      <c r="A28" s="2" t="s">
        <v>65</v>
      </c>
      <c r="B28" s="3" t="s">
        <v>98</v>
      </c>
      <c r="C28" s="71" t="s">
        <v>99</v>
      </c>
      <c r="D28" s="66"/>
      <c r="E28" s="3" t="s">
        <v>100</v>
      </c>
      <c r="F28" s="24">
        <v>0.25</v>
      </c>
      <c r="G28" s="59">
        <v>0</v>
      </c>
      <c r="H28" s="24">
        <f>ROUND(F28*AO28,2)</f>
        <v>0</v>
      </c>
      <c r="I28" s="24">
        <f>ROUND(F28*AP28,2)</f>
        <v>0</v>
      </c>
      <c r="J28" s="24">
        <f>ROUND(F28*G28,2)</f>
        <v>0</v>
      </c>
      <c r="K28" s="25" t="s">
        <v>63</v>
      </c>
      <c r="Z28" s="24">
        <f>ROUND(IF(AQ28="5",BJ28,0),2)</f>
        <v>0</v>
      </c>
      <c r="AB28" s="24">
        <f>ROUND(IF(AQ28="1",BH28,0),2)</f>
        <v>0</v>
      </c>
      <c r="AC28" s="24">
        <f>ROUND(IF(AQ28="1",BI28,0),2)</f>
        <v>0</v>
      </c>
      <c r="AD28" s="24">
        <f>ROUND(IF(AQ28="7",BH28,0),2)</f>
        <v>0</v>
      </c>
      <c r="AE28" s="24">
        <f>ROUND(IF(AQ28="7",BI28,0),2)</f>
        <v>0</v>
      </c>
      <c r="AF28" s="24">
        <f>ROUND(IF(AQ28="2",BH28,0),2)</f>
        <v>0</v>
      </c>
      <c r="AG28" s="24">
        <f>ROUND(IF(AQ28="2",BI28,0),2)</f>
        <v>0</v>
      </c>
      <c r="AH28" s="24">
        <f>ROUND(IF(AQ28="0",BJ28,0),2)</f>
        <v>0</v>
      </c>
      <c r="AI28" s="10" t="s">
        <v>47</v>
      </c>
      <c r="AJ28" s="24">
        <f>IF(AN28=0,J28,0)</f>
        <v>0</v>
      </c>
      <c r="AK28" s="24">
        <f>IF(AN28=12,J28,0)</f>
        <v>0</v>
      </c>
      <c r="AL28" s="24">
        <f>IF(AN28=21,J28,0)</f>
        <v>0</v>
      </c>
      <c r="AN28" s="24">
        <v>21</v>
      </c>
      <c r="AO28" s="24">
        <f>G28*1</f>
        <v>0</v>
      </c>
      <c r="AP28" s="24">
        <f>G28*(1-1)</f>
        <v>0</v>
      </c>
      <c r="AQ28" s="26" t="s">
        <v>50</v>
      </c>
      <c r="AV28" s="24">
        <f>ROUND(AW28+AX28,2)</f>
        <v>0</v>
      </c>
      <c r="AW28" s="24">
        <f>ROUND(F28*AO28,2)</f>
        <v>0</v>
      </c>
      <c r="AX28" s="24">
        <f>ROUND(F28*AP28,2)</f>
        <v>0</v>
      </c>
      <c r="AY28" s="26" t="s">
        <v>92</v>
      </c>
      <c r="AZ28" s="26" t="s">
        <v>92</v>
      </c>
      <c r="BA28" s="10" t="s">
        <v>55</v>
      </c>
      <c r="BC28" s="24">
        <f>AW28+AX28</f>
        <v>0</v>
      </c>
      <c r="BD28" s="24">
        <f>G28/(100-BE28)*100</f>
        <v>0</v>
      </c>
      <c r="BE28" s="24">
        <v>0</v>
      </c>
      <c r="BF28" s="24">
        <f>28</f>
        <v>28</v>
      </c>
      <c r="BH28" s="24">
        <f>F28*AO28</f>
        <v>0</v>
      </c>
      <c r="BI28" s="24">
        <f>F28*AP28</f>
        <v>0</v>
      </c>
      <c r="BJ28" s="24">
        <f>F28*G28</f>
        <v>0</v>
      </c>
      <c r="BK28" s="26" t="s">
        <v>101</v>
      </c>
      <c r="BL28" s="24">
        <v>18</v>
      </c>
      <c r="BW28" s="24">
        <v>21</v>
      </c>
      <c r="BX28" s="4" t="s">
        <v>99</v>
      </c>
    </row>
    <row r="29" spans="1:76" x14ac:dyDescent="0.25">
      <c r="A29" s="27" t="s">
        <v>47</v>
      </c>
      <c r="B29" s="28" t="s">
        <v>102</v>
      </c>
      <c r="C29" s="89" t="s">
        <v>103</v>
      </c>
      <c r="D29" s="90"/>
      <c r="E29" s="29" t="s">
        <v>28</v>
      </c>
      <c r="F29" s="29" t="s">
        <v>28</v>
      </c>
      <c r="G29" s="29" t="s">
        <v>28</v>
      </c>
      <c r="H29" s="1">
        <f>ROUND(SUM(H30:H31),2)</f>
        <v>0</v>
      </c>
      <c r="I29" s="1">
        <f>ROUND(SUM(I30:I31),2)</f>
        <v>0</v>
      </c>
      <c r="J29" s="1">
        <f>ROUND(SUM(J30:J31),2)</f>
        <v>0</v>
      </c>
      <c r="K29" s="30" t="s">
        <v>47</v>
      </c>
      <c r="AI29" s="10" t="s">
        <v>47</v>
      </c>
      <c r="AS29" s="1">
        <f>SUM(AJ30:AJ31)</f>
        <v>0</v>
      </c>
      <c r="AT29" s="1">
        <f>SUM(AK30:AK31)</f>
        <v>0</v>
      </c>
      <c r="AU29" s="1">
        <f>SUM(AL30:AL31)</f>
        <v>0</v>
      </c>
    </row>
    <row r="30" spans="1:76" x14ac:dyDescent="0.25">
      <c r="A30" s="2" t="s">
        <v>104</v>
      </c>
      <c r="B30" s="3" t="s">
        <v>105</v>
      </c>
      <c r="C30" s="71" t="s">
        <v>106</v>
      </c>
      <c r="D30" s="66"/>
      <c r="E30" s="3" t="s">
        <v>70</v>
      </c>
      <c r="F30" s="24">
        <v>36.9</v>
      </c>
      <c r="G30" s="59">
        <v>0</v>
      </c>
      <c r="H30" s="24">
        <f>ROUND(F30*AO30,2)</f>
        <v>0</v>
      </c>
      <c r="I30" s="24">
        <f>ROUND(F30*AP30,2)</f>
        <v>0</v>
      </c>
      <c r="J30" s="24">
        <f>ROUND(F30*G30,2)</f>
        <v>0</v>
      </c>
      <c r="K30" s="25" t="s">
        <v>63</v>
      </c>
      <c r="Z30" s="24">
        <f>ROUND(IF(AQ30="5",BJ30,0),2)</f>
        <v>0</v>
      </c>
      <c r="AB30" s="24">
        <f>ROUND(IF(AQ30="1",BH30,0),2)</f>
        <v>0</v>
      </c>
      <c r="AC30" s="24">
        <f>ROUND(IF(AQ30="1",BI30,0),2)</f>
        <v>0</v>
      </c>
      <c r="AD30" s="24">
        <f>ROUND(IF(AQ30="7",BH30,0),2)</f>
        <v>0</v>
      </c>
      <c r="AE30" s="24">
        <f>ROUND(IF(AQ30="7",BI30,0),2)</f>
        <v>0</v>
      </c>
      <c r="AF30" s="24">
        <f>ROUND(IF(AQ30="2",BH30,0),2)</f>
        <v>0</v>
      </c>
      <c r="AG30" s="24">
        <f>ROUND(IF(AQ30="2",BI30,0),2)</f>
        <v>0</v>
      </c>
      <c r="AH30" s="24">
        <f>ROUND(IF(AQ30="0",BJ30,0),2)</f>
        <v>0</v>
      </c>
      <c r="AI30" s="10" t="s">
        <v>47</v>
      </c>
      <c r="AJ30" s="24">
        <f>IF(AN30=0,J30,0)</f>
        <v>0</v>
      </c>
      <c r="AK30" s="24">
        <f>IF(AN30=12,J30,0)</f>
        <v>0</v>
      </c>
      <c r="AL30" s="24">
        <f>IF(AN30=21,J30,0)</f>
        <v>0</v>
      </c>
      <c r="AN30" s="24">
        <v>21</v>
      </c>
      <c r="AO30" s="24">
        <f>G30*0</f>
        <v>0</v>
      </c>
      <c r="AP30" s="24">
        <f>G30*(1-0)</f>
        <v>0</v>
      </c>
      <c r="AQ30" s="26" t="s">
        <v>50</v>
      </c>
      <c r="AV30" s="24">
        <f>ROUND(AW30+AX30,2)</f>
        <v>0</v>
      </c>
      <c r="AW30" s="24">
        <f>ROUND(F30*AO30,2)</f>
        <v>0</v>
      </c>
      <c r="AX30" s="24">
        <f>ROUND(F30*AP30,2)</f>
        <v>0</v>
      </c>
      <c r="AY30" s="26" t="s">
        <v>107</v>
      </c>
      <c r="AZ30" s="26" t="s">
        <v>107</v>
      </c>
      <c r="BA30" s="10" t="s">
        <v>55</v>
      </c>
      <c r="BC30" s="24">
        <f>AW30+AX30</f>
        <v>0</v>
      </c>
      <c r="BD30" s="24">
        <f>G30/(100-BE30)*100</f>
        <v>0</v>
      </c>
      <c r="BE30" s="24">
        <v>0</v>
      </c>
      <c r="BF30" s="24">
        <f>30</f>
        <v>30</v>
      </c>
      <c r="BH30" s="24">
        <f>F30*AO30</f>
        <v>0</v>
      </c>
      <c r="BI30" s="24">
        <f>F30*AP30</f>
        <v>0</v>
      </c>
      <c r="BJ30" s="24">
        <f>F30*G30</f>
        <v>0</v>
      </c>
      <c r="BK30" s="26" t="s">
        <v>56</v>
      </c>
      <c r="BL30" s="24">
        <v>19</v>
      </c>
      <c r="BW30" s="24">
        <v>21</v>
      </c>
      <c r="BX30" s="4" t="s">
        <v>106</v>
      </c>
    </row>
    <row r="31" spans="1:76" ht="25.5" x14ac:dyDescent="0.25">
      <c r="A31" s="2" t="s">
        <v>108</v>
      </c>
      <c r="B31" s="3" t="s">
        <v>105</v>
      </c>
      <c r="C31" s="71" t="s">
        <v>109</v>
      </c>
      <c r="D31" s="66"/>
      <c r="E31" s="3" t="s">
        <v>70</v>
      </c>
      <c r="F31" s="24">
        <v>18.5</v>
      </c>
      <c r="G31" s="59">
        <v>0</v>
      </c>
      <c r="H31" s="24">
        <f>ROUND(F31*AO31,2)</f>
        <v>0</v>
      </c>
      <c r="I31" s="24">
        <f>ROUND(F31*AP31,2)</f>
        <v>0</v>
      </c>
      <c r="J31" s="24">
        <f>ROUND(F31*G31,2)</f>
        <v>0</v>
      </c>
      <c r="K31" s="25" t="s">
        <v>63</v>
      </c>
      <c r="Z31" s="24">
        <f>ROUND(IF(AQ31="5",BJ31,0),2)</f>
        <v>0</v>
      </c>
      <c r="AB31" s="24">
        <f>ROUND(IF(AQ31="1",BH31,0),2)</f>
        <v>0</v>
      </c>
      <c r="AC31" s="24">
        <f>ROUND(IF(AQ31="1",BI31,0),2)</f>
        <v>0</v>
      </c>
      <c r="AD31" s="24">
        <f>ROUND(IF(AQ31="7",BH31,0),2)</f>
        <v>0</v>
      </c>
      <c r="AE31" s="24">
        <f>ROUND(IF(AQ31="7",BI31,0),2)</f>
        <v>0</v>
      </c>
      <c r="AF31" s="24">
        <f>ROUND(IF(AQ31="2",BH31,0),2)</f>
        <v>0</v>
      </c>
      <c r="AG31" s="24">
        <f>ROUND(IF(AQ31="2",BI31,0),2)</f>
        <v>0</v>
      </c>
      <c r="AH31" s="24">
        <f>ROUND(IF(AQ31="0",BJ31,0),2)</f>
        <v>0</v>
      </c>
      <c r="AI31" s="10" t="s">
        <v>47</v>
      </c>
      <c r="AJ31" s="24">
        <f>IF(AN31=0,J31,0)</f>
        <v>0</v>
      </c>
      <c r="AK31" s="24">
        <f>IF(AN31=12,J31,0)</f>
        <v>0</v>
      </c>
      <c r="AL31" s="24">
        <f>IF(AN31=21,J31,0)</f>
        <v>0</v>
      </c>
      <c r="AN31" s="24">
        <v>21</v>
      </c>
      <c r="AO31" s="24">
        <f>G31*0</f>
        <v>0</v>
      </c>
      <c r="AP31" s="24">
        <f>G31*(1-0)</f>
        <v>0</v>
      </c>
      <c r="AQ31" s="26" t="s">
        <v>50</v>
      </c>
      <c r="AV31" s="24">
        <f>ROUND(AW31+AX31,2)</f>
        <v>0</v>
      </c>
      <c r="AW31" s="24">
        <f>ROUND(F31*AO31,2)</f>
        <v>0</v>
      </c>
      <c r="AX31" s="24">
        <f>ROUND(F31*AP31,2)</f>
        <v>0</v>
      </c>
      <c r="AY31" s="26" t="s">
        <v>107</v>
      </c>
      <c r="AZ31" s="26" t="s">
        <v>107</v>
      </c>
      <c r="BA31" s="10" t="s">
        <v>55</v>
      </c>
      <c r="BC31" s="24">
        <f>AW31+AX31</f>
        <v>0</v>
      </c>
      <c r="BD31" s="24">
        <f>G31/(100-BE31)*100</f>
        <v>0</v>
      </c>
      <c r="BE31" s="24">
        <v>0</v>
      </c>
      <c r="BF31" s="24">
        <f>31</f>
        <v>31</v>
      </c>
      <c r="BH31" s="24">
        <f>F31*AO31</f>
        <v>0</v>
      </c>
      <c r="BI31" s="24">
        <f>F31*AP31</f>
        <v>0</v>
      </c>
      <c r="BJ31" s="24">
        <f>F31*G31</f>
        <v>0</v>
      </c>
      <c r="BK31" s="26" t="s">
        <v>56</v>
      </c>
      <c r="BL31" s="24">
        <v>19</v>
      </c>
      <c r="BW31" s="24">
        <v>21</v>
      </c>
      <c r="BX31" s="4" t="s">
        <v>109</v>
      </c>
    </row>
    <row r="32" spans="1:76" x14ac:dyDescent="0.25">
      <c r="A32" s="27" t="s">
        <v>47</v>
      </c>
      <c r="B32" s="28" t="s">
        <v>110</v>
      </c>
      <c r="C32" s="89" t="s">
        <v>111</v>
      </c>
      <c r="D32" s="90"/>
      <c r="E32" s="29" t="s">
        <v>28</v>
      </c>
      <c r="F32" s="29" t="s">
        <v>28</v>
      </c>
      <c r="G32" s="29" t="s">
        <v>28</v>
      </c>
      <c r="H32" s="1">
        <f>ROUND(SUM(H33:H36),2)</f>
        <v>0</v>
      </c>
      <c r="I32" s="1">
        <f>ROUND(SUM(I33:I36),2)</f>
        <v>0</v>
      </c>
      <c r="J32" s="1">
        <f>ROUND(SUM(J33:J36),2)</f>
        <v>0</v>
      </c>
      <c r="K32" s="30" t="s">
        <v>47</v>
      </c>
      <c r="AI32" s="10" t="s">
        <v>47</v>
      </c>
      <c r="AS32" s="1">
        <f>SUM(AJ33:AJ36)</f>
        <v>0</v>
      </c>
      <c r="AT32" s="1">
        <f>SUM(AK33:AK36)</f>
        <v>0</v>
      </c>
      <c r="AU32" s="1">
        <f>SUM(AL33:AL36)</f>
        <v>0</v>
      </c>
    </row>
    <row r="33" spans="1:76" x14ac:dyDescent="0.25">
      <c r="A33" s="2" t="s">
        <v>112</v>
      </c>
      <c r="B33" s="3" t="s">
        <v>113</v>
      </c>
      <c r="C33" s="71" t="s">
        <v>114</v>
      </c>
      <c r="D33" s="66"/>
      <c r="E33" s="3" t="s">
        <v>62</v>
      </c>
      <c r="F33" s="24">
        <v>184.5</v>
      </c>
      <c r="G33" s="59">
        <v>0</v>
      </c>
      <c r="H33" s="24">
        <f>ROUND(F33*AO33,2)</f>
        <v>0</v>
      </c>
      <c r="I33" s="24">
        <f>ROUND(F33*AP33,2)</f>
        <v>0</v>
      </c>
      <c r="J33" s="24">
        <f>ROUND(F33*G33,2)</f>
        <v>0</v>
      </c>
      <c r="K33" s="25" t="s">
        <v>63</v>
      </c>
      <c r="Z33" s="24">
        <f>ROUND(IF(AQ33="5",BJ33,0),2)</f>
        <v>0</v>
      </c>
      <c r="AB33" s="24">
        <f>ROUND(IF(AQ33="1",BH33,0),2)</f>
        <v>0</v>
      </c>
      <c r="AC33" s="24">
        <f>ROUND(IF(AQ33="1",BI33,0),2)</f>
        <v>0</v>
      </c>
      <c r="AD33" s="24">
        <f>ROUND(IF(AQ33="7",BH33,0),2)</f>
        <v>0</v>
      </c>
      <c r="AE33" s="24">
        <f>ROUND(IF(AQ33="7",BI33,0),2)</f>
        <v>0</v>
      </c>
      <c r="AF33" s="24">
        <f>ROUND(IF(AQ33="2",BH33,0),2)</f>
        <v>0</v>
      </c>
      <c r="AG33" s="24">
        <f>ROUND(IF(AQ33="2",BI33,0),2)</f>
        <v>0</v>
      </c>
      <c r="AH33" s="24">
        <f>ROUND(IF(AQ33="0",BJ33,0),2)</f>
        <v>0</v>
      </c>
      <c r="AI33" s="10" t="s">
        <v>47</v>
      </c>
      <c r="AJ33" s="24">
        <f>IF(AN33=0,J33,0)</f>
        <v>0</v>
      </c>
      <c r="AK33" s="24">
        <f>IF(AN33=12,J33,0)</f>
        <v>0</v>
      </c>
      <c r="AL33" s="24">
        <f>IF(AN33=21,J33,0)</f>
        <v>0</v>
      </c>
      <c r="AN33" s="24">
        <v>21</v>
      </c>
      <c r="AO33" s="24">
        <f>G33*0.832941462</f>
        <v>0</v>
      </c>
      <c r="AP33" s="24">
        <f>G33*(1-0.832941462)</f>
        <v>0</v>
      </c>
      <c r="AQ33" s="26" t="s">
        <v>50</v>
      </c>
      <c r="AV33" s="24">
        <f>ROUND(AW33+AX33,2)</f>
        <v>0</v>
      </c>
      <c r="AW33" s="24">
        <f>ROUND(F33*AO33,2)</f>
        <v>0</v>
      </c>
      <c r="AX33" s="24">
        <f>ROUND(F33*AP33,2)</f>
        <v>0</v>
      </c>
      <c r="AY33" s="26" t="s">
        <v>115</v>
      </c>
      <c r="AZ33" s="26" t="s">
        <v>115</v>
      </c>
      <c r="BA33" s="10" t="s">
        <v>55</v>
      </c>
      <c r="BC33" s="24">
        <f>AW33+AX33</f>
        <v>0</v>
      </c>
      <c r="BD33" s="24">
        <f>G33/(100-BE33)*100</f>
        <v>0</v>
      </c>
      <c r="BE33" s="24">
        <v>0</v>
      </c>
      <c r="BF33" s="24">
        <f>33</f>
        <v>33</v>
      </c>
      <c r="BH33" s="24">
        <f>F33*AO33</f>
        <v>0</v>
      </c>
      <c r="BI33" s="24">
        <f>F33*AP33</f>
        <v>0</v>
      </c>
      <c r="BJ33" s="24">
        <f>F33*G33</f>
        <v>0</v>
      </c>
      <c r="BK33" s="26" t="s">
        <v>56</v>
      </c>
      <c r="BL33" s="24">
        <v>56</v>
      </c>
      <c r="BW33" s="24">
        <v>21</v>
      </c>
      <c r="BX33" s="4" t="s">
        <v>114</v>
      </c>
    </row>
    <row r="34" spans="1:76" x14ac:dyDescent="0.25">
      <c r="A34" s="2" t="s">
        <v>74</v>
      </c>
      <c r="B34" s="3" t="s">
        <v>116</v>
      </c>
      <c r="C34" s="71" t="s">
        <v>117</v>
      </c>
      <c r="D34" s="66"/>
      <c r="E34" s="3" t="s">
        <v>62</v>
      </c>
      <c r="F34" s="24">
        <v>184.5</v>
      </c>
      <c r="G34" s="59">
        <v>0</v>
      </c>
      <c r="H34" s="24">
        <f>ROUND(F34*AO34,2)</f>
        <v>0</v>
      </c>
      <c r="I34" s="24">
        <f>ROUND(F34*AP34,2)</f>
        <v>0</v>
      </c>
      <c r="J34" s="24">
        <f>ROUND(F34*G34,2)</f>
        <v>0</v>
      </c>
      <c r="K34" s="25" t="s">
        <v>63</v>
      </c>
      <c r="Z34" s="24">
        <f>ROUND(IF(AQ34="5",BJ34,0),2)</f>
        <v>0</v>
      </c>
      <c r="AB34" s="24">
        <f>ROUND(IF(AQ34="1",BH34,0),2)</f>
        <v>0</v>
      </c>
      <c r="AC34" s="24">
        <f>ROUND(IF(AQ34="1",BI34,0),2)</f>
        <v>0</v>
      </c>
      <c r="AD34" s="24">
        <f>ROUND(IF(AQ34="7",BH34,0),2)</f>
        <v>0</v>
      </c>
      <c r="AE34" s="24">
        <f>ROUND(IF(AQ34="7",BI34,0),2)</f>
        <v>0</v>
      </c>
      <c r="AF34" s="24">
        <f>ROUND(IF(AQ34="2",BH34,0),2)</f>
        <v>0</v>
      </c>
      <c r="AG34" s="24">
        <f>ROUND(IF(AQ34="2",BI34,0),2)</f>
        <v>0</v>
      </c>
      <c r="AH34" s="24">
        <f>ROUND(IF(AQ34="0",BJ34,0),2)</f>
        <v>0</v>
      </c>
      <c r="AI34" s="10" t="s">
        <v>47</v>
      </c>
      <c r="AJ34" s="24">
        <f>IF(AN34=0,J34,0)</f>
        <v>0</v>
      </c>
      <c r="AK34" s="24">
        <f>IF(AN34=12,J34,0)</f>
        <v>0</v>
      </c>
      <c r="AL34" s="24">
        <f>IF(AN34=21,J34,0)</f>
        <v>0</v>
      </c>
      <c r="AN34" s="24">
        <v>21</v>
      </c>
      <c r="AO34" s="24">
        <f>G34*0.784140351</f>
        <v>0</v>
      </c>
      <c r="AP34" s="24">
        <f>G34*(1-0.784140351)</f>
        <v>0</v>
      </c>
      <c r="AQ34" s="26" t="s">
        <v>50</v>
      </c>
      <c r="AV34" s="24">
        <f>ROUND(AW34+AX34,2)</f>
        <v>0</v>
      </c>
      <c r="AW34" s="24">
        <f>ROUND(F34*AO34,2)</f>
        <v>0</v>
      </c>
      <c r="AX34" s="24">
        <f>ROUND(F34*AP34,2)</f>
        <v>0</v>
      </c>
      <c r="AY34" s="26" t="s">
        <v>115</v>
      </c>
      <c r="AZ34" s="26" t="s">
        <v>115</v>
      </c>
      <c r="BA34" s="10" t="s">
        <v>55</v>
      </c>
      <c r="BC34" s="24">
        <f>AW34+AX34</f>
        <v>0</v>
      </c>
      <c r="BD34" s="24">
        <f>G34/(100-BE34)*100</f>
        <v>0</v>
      </c>
      <c r="BE34" s="24">
        <v>0</v>
      </c>
      <c r="BF34" s="24">
        <f>34</f>
        <v>34</v>
      </c>
      <c r="BH34" s="24">
        <f>F34*AO34</f>
        <v>0</v>
      </c>
      <c r="BI34" s="24">
        <f>F34*AP34</f>
        <v>0</v>
      </c>
      <c r="BJ34" s="24">
        <f>F34*G34</f>
        <v>0</v>
      </c>
      <c r="BK34" s="26" t="s">
        <v>56</v>
      </c>
      <c r="BL34" s="24">
        <v>56</v>
      </c>
      <c r="BW34" s="24">
        <v>21</v>
      </c>
      <c r="BX34" s="4" t="s">
        <v>117</v>
      </c>
    </row>
    <row r="35" spans="1:76" x14ac:dyDescent="0.25">
      <c r="A35" s="2" t="s">
        <v>118</v>
      </c>
      <c r="B35" s="3" t="s">
        <v>119</v>
      </c>
      <c r="C35" s="71" t="s">
        <v>120</v>
      </c>
      <c r="D35" s="66"/>
      <c r="E35" s="3" t="s">
        <v>62</v>
      </c>
      <c r="F35" s="24">
        <v>184.5</v>
      </c>
      <c r="G35" s="59">
        <v>0</v>
      </c>
      <c r="H35" s="24">
        <f>ROUND(F35*AO35,2)</f>
        <v>0</v>
      </c>
      <c r="I35" s="24">
        <f>ROUND(F35*AP35,2)</f>
        <v>0</v>
      </c>
      <c r="J35" s="24">
        <f>ROUND(F35*G35,2)</f>
        <v>0</v>
      </c>
      <c r="K35" s="25" t="s">
        <v>63</v>
      </c>
      <c r="Z35" s="24">
        <f>ROUND(IF(AQ35="5",BJ35,0),2)</f>
        <v>0</v>
      </c>
      <c r="AB35" s="24">
        <f>ROUND(IF(AQ35="1",BH35,0),2)</f>
        <v>0</v>
      </c>
      <c r="AC35" s="24">
        <f>ROUND(IF(AQ35="1",BI35,0),2)</f>
        <v>0</v>
      </c>
      <c r="AD35" s="24">
        <f>ROUND(IF(AQ35="7",BH35,0),2)</f>
        <v>0</v>
      </c>
      <c r="AE35" s="24">
        <f>ROUND(IF(AQ35="7",BI35,0),2)</f>
        <v>0</v>
      </c>
      <c r="AF35" s="24">
        <f>ROUND(IF(AQ35="2",BH35,0),2)</f>
        <v>0</v>
      </c>
      <c r="AG35" s="24">
        <f>ROUND(IF(AQ35="2",BI35,0),2)</f>
        <v>0</v>
      </c>
      <c r="AH35" s="24">
        <f>ROUND(IF(AQ35="0",BJ35,0),2)</f>
        <v>0</v>
      </c>
      <c r="AI35" s="10" t="s">
        <v>47</v>
      </c>
      <c r="AJ35" s="24">
        <f>IF(AN35=0,J35,0)</f>
        <v>0</v>
      </c>
      <c r="AK35" s="24">
        <f>IF(AN35=12,J35,0)</f>
        <v>0</v>
      </c>
      <c r="AL35" s="24">
        <f>IF(AN35=21,J35,0)</f>
        <v>0</v>
      </c>
      <c r="AN35" s="24">
        <v>21</v>
      </c>
      <c r="AO35" s="24">
        <f>G35*0</f>
        <v>0</v>
      </c>
      <c r="AP35" s="24">
        <f>G35*(1-0)</f>
        <v>0</v>
      </c>
      <c r="AQ35" s="26" t="s">
        <v>50</v>
      </c>
      <c r="AV35" s="24">
        <f>ROUND(AW35+AX35,2)</f>
        <v>0</v>
      </c>
      <c r="AW35" s="24">
        <f>ROUND(F35*AO35,2)</f>
        <v>0</v>
      </c>
      <c r="AX35" s="24">
        <f>ROUND(F35*AP35,2)</f>
        <v>0</v>
      </c>
      <c r="AY35" s="26" t="s">
        <v>115</v>
      </c>
      <c r="AZ35" s="26" t="s">
        <v>115</v>
      </c>
      <c r="BA35" s="10" t="s">
        <v>55</v>
      </c>
      <c r="BC35" s="24">
        <f>AW35+AX35</f>
        <v>0</v>
      </c>
      <c r="BD35" s="24">
        <f>G35/(100-BE35)*100</f>
        <v>0</v>
      </c>
      <c r="BE35" s="24">
        <v>0</v>
      </c>
      <c r="BF35" s="24">
        <f>35</f>
        <v>35</v>
      </c>
      <c r="BH35" s="24">
        <f>F35*AO35</f>
        <v>0</v>
      </c>
      <c r="BI35" s="24">
        <f>F35*AP35</f>
        <v>0</v>
      </c>
      <c r="BJ35" s="24">
        <f>F35*G35</f>
        <v>0</v>
      </c>
      <c r="BK35" s="26" t="s">
        <v>56</v>
      </c>
      <c r="BL35" s="24">
        <v>56</v>
      </c>
      <c r="BW35" s="24">
        <v>21</v>
      </c>
      <c r="BX35" s="4" t="s">
        <v>120</v>
      </c>
    </row>
    <row r="36" spans="1:76" x14ac:dyDescent="0.25">
      <c r="A36" s="2" t="s">
        <v>87</v>
      </c>
      <c r="B36" s="3" t="s">
        <v>121</v>
      </c>
      <c r="C36" s="71" t="s">
        <v>122</v>
      </c>
      <c r="D36" s="66"/>
      <c r="E36" s="3" t="s">
        <v>62</v>
      </c>
      <c r="F36" s="24">
        <v>184.5</v>
      </c>
      <c r="G36" s="59">
        <v>0</v>
      </c>
      <c r="H36" s="24">
        <f>ROUND(F36*AO36,2)</f>
        <v>0</v>
      </c>
      <c r="I36" s="24">
        <f>ROUND(F36*AP36,2)</f>
        <v>0</v>
      </c>
      <c r="J36" s="24">
        <f>ROUND(F36*G36,2)</f>
        <v>0</v>
      </c>
      <c r="K36" s="25" t="s">
        <v>63</v>
      </c>
      <c r="Z36" s="24">
        <f>ROUND(IF(AQ36="5",BJ36,0),2)</f>
        <v>0</v>
      </c>
      <c r="AB36" s="24">
        <f>ROUND(IF(AQ36="1",BH36,0),2)</f>
        <v>0</v>
      </c>
      <c r="AC36" s="24">
        <f>ROUND(IF(AQ36="1",BI36,0),2)</f>
        <v>0</v>
      </c>
      <c r="AD36" s="24">
        <f>ROUND(IF(AQ36="7",BH36,0),2)</f>
        <v>0</v>
      </c>
      <c r="AE36" s="24">
        <f>ROUND(IF(AQ36="7",BI36,0),2)</f>
        <v>0</v>
      </c>
      <c r="AF36" s="24">
        <f>ROUND(IF(AQ36="2",BH36,0),2)</f>
        <v>0</v>
      </c>
      <c r="AG36" s="24">
        <f>ROUND(IF(AQ36="2",BI36,0),2)</f>
        <v>0</v>
      </c>
      <c r="AH36" s="24">
        <f>ROUND(IF(AQ36="0",BJ36,0),2)</f>
        <v>0</v>
      </c>
      <c r="AI36" s="10" t="s">
        <v>47</v>
      </c>
      <c r="AJ36" s="24">
        <f>IF(AN36=0,J36,0)</f>
        <v>0</v>
      </c>
      <c r="AK36" s="24">
        <f>IF(AN36=12,J36,0)</f>
        <v>0</v>
      </c>
      <c r="AL36" s="24">
        <f>IF(AN36=21,J36,0)</f>
        <v>0</v>
      </c>
      <c r="AN36" s="24">
        <v>21</v>
      </c>
      <c r="AO36" s="24">
        <f>G36*1</f>
        <v>0</v>
      </c>
      <c r="AP36" s="24">
        <f>G36*(1-1)</f>
        <v>0</v>
      </c>
      <c r="AQ36" s="26" t="s">
        <v>50</v>
      </c>
      <c r="AV36" s="24">
        <f>ROUND(AW36+AX36,2)</f>
        <v>0</v>
      </c>
      <c r="AW36" s="24">
        <f>ROUND(F36*AO36,2)</f>
        <v>0</v>
      </c>
      <c r="AX36" s="24">
        <f>ROUND(F36*AP36,2)</f>
        <v>0</v>
      </c>
      <c r="AY36" s="26" t="s">
        <v>115</v>
      </c>
      <c r="AZ36" s="26" t="s">
        <v>115</v>
      </c>
      <c r="BA36" s="10" t="s">
        <v>55</v>
      </c>
      <c r="BC36" s="24">
        <f>AW36+AX36</f>
        <v>0</v>
      </c>
      <c r="BD36" s="24">
        <f>G36/(100-BE36)*100</f>
        <v>0</v>
      </c>
      <c r="BE36" s="24">
        <v>0</v>
      </c>
      <c r="BF36" s="24">
        <f>36</f>
        <v>36</v>
      </c>
      <c r="BH36" s="24">
        <f>F36*AO36</f>
        <v>0</v>
      </c>
      <c r="BI36" s="24">
        <f>F36*AP36</f>
        <v>0</v>
      </c>
      <c r="BJ36" s="24">
        <f>F36*G36</f>
        <v>0</v>
      </c>
      <c r="BK36" s="26" t="s">
        <v>101</v>
      </c>
      <c r="BL36" s="24">
        <v>56</v>
      </c>
      <c r="BW36" s="24">
        <v>21</v>
      </c>
      <c r="BX36" s="4" t="s">
        <v>122</v>
      </c>
    </row>
    <row r="37" spans="1:76" x14ac:dyDescent="0.25">
      <c r="A37" s="27" t="s">
        <v>47</v>
      </c>
      <c r="B37" s="28" t="s">
        <v>123</v>
      </c>
      <c r="C37" s="89" t="s">
        <v>124</v>
      </c>
      <c r="D37" s="90"/>
      <c r="E37" s="29" t="s">
        <v>28</v>
      </c>
      <c r="F37" s="29" t="s">
        <v>28</v>
      </c>
      <c r="G37" s="29" t="s">
        <v>28</v>
      </c>
      <c r="H37" s="1">
        <f>ROUND(SUM(H38:H39),2)</f>
        <v>0</v>
      </c>
      <c r="I37" s="1">
        <f>ROUND(SUM(I38:I39),2)</f>
        <v>0</v>
      </c>
      <c r="J37" s="1">
        <f>ROUND(SUM(J38:J39),2)</f>
        <v>0</v>
      </c>
      <c r="K37" s="30" t="s">
        <v>47</v>
      </c>
      <c r="AI37" s="10" t="s">
        <v>47</v>
      </c>
      <c r="AS37" s="1">
        <f>SUM(AJ38:AJ39)</f>
        <v>0</v>
      </c>
      <c r="AT37" s="1">
        <f>SUM(AK38:AK39)</f>
        <v>0</v>
      </c>
      <c r="AU37" s="1">
        <f>SUM(AL38:AL39)</f>
        <v>0</v>
      </c>
    </row>
    <row r="38" spans="1:76" x14ac:dyDescent="0.25">
      <c r="A38" s="2" t="s">
        <v>102</v>
      </c>
      <c r="B38" s="3" t="s">
        <v>125</v>
      </c>
      <c r="C38" s="71" t="s">
        <v>126</v>
      </c>
      <c r="D38" s="66"/>
      <c r="E38" s="3" t="s">
        <v>62</v>
      </c>
      <c r="F38" s="24">
        <v>184.5</v>
      </c>
      <c r="G38" s="59">
        <v>0</v>
      </c>
      <c r="H38" s="24">
        <f>ROUND(F38*AO38,2)</f>
        <v>0</v>
      </c>
      <c r="I38" s="24">
        <f>ROUND(F38*AP38,2)</f>
        <v>0</v>
      </c>
      <c r="J38" s="24">
        <f>ROUND(F38*G38,2)</f>
        <v>0</v>
      </c>
      <c r="K38" s="25" t="s">
        <v>63</v>
      </c>
      <c r="Z38" s="24">
        <f>ROUND(IF(AQ38="5",BJ38,0),2)</f>
        <v>0</v>
      </c>
      <c r="AB38" s="24">
        <f>ROUND(IF(AQ38="1",BH38,0),2)</f>
        <v>0</v>
      </c>
      <c r="AC38" s="24">
        <f>ROUND(IF(AQ38="1",BI38,0),2)</f>
        <v>0</v>
      </c>
      <c r="AD38" s="24">
        <f>ROUND(IF(AQ38="7",BH38,0),2)</f>
        <v>0</v>
      </c>
      <c r="AE38" s="24">
        <f>ROUND(IF(AQ38="7",BI38,0),2)</f>
        <v>0</v>
      </c>
      <c r="AF38" s="24">
        <f>ROUND(IF(AQ38="2",BH38,0),2)</f>
        <v>0</v>
      </c>
      <c r="AG38" s="24">
        <f>ROUND(IF(AQ38="2",BI38,0),2)</f>
        <v>0</v>
      </c>
      <c r="AH38" s="24">
        <f>ROUND(IF(AQ38="0",BJ38,0),2)</f>
        <v>0</v>
      </c>
      <c r="AI38" s="10" t="s">
        <v>47</v>
      </c>
      <c r="AJ38" s="24">
        <f>IF(AN38=0,J38,0)</f>
        <v>0</v>
      </c>
      <c r="AK38" s="24">
        <f>IF(AN38=12,J38,0)</f>
        <v>0</v>
      </c>
      <c r="AL38" s="24">
        <f>IF(AN38=21,J38,0)</f>
        <v>0</v>
      </c>
      <c r="AN38" s="24">
        <v>21</v>
      </c>
      <c r="AO38" s="24">
        <f>G38*0.100568477</f>
        <v>0</v>
      </c>
      <c r="AP38" s="24">
        <f>G38*(1-0.100568477)</f>
        <v>0</v>
      </c>
      <c r="AQ38" s="26" t="s">
        <v>50</v>
      </c>
      <c r="AV38" s="24">
        <f>ROUND(AW38+AX38,2)</f>
        <v>0</v>
      </c>
      <c r="AW38" s="24">
        <f>ROUND(F38*AO38,2)</f>
        <v>0</v>
      </c>
      <c r="AX38" s="24">
        <f>ROUND(F38*AP38,2)</f>
        <v>0</v>
      </c>
      <c r="AY38" s="26" t="s">
        <v>127</v>
      </c>
      <c r="AZ38" s="26" t="s">
        <v>127</v>
      </c>
      <c r="BA38" s="10" t="s">
        <v>55</v>
      </c>
      <c r="BC38" s="24">
        <f>AW38+AX38</f>
        <v>0</v>
      </c>
      <c r="BD38" s="24">
        <f>G38/(100-BE38)*100</f>
        <v>0</v>
      </c>
      <c r="BE38" s="24">
        <v>0</v>
      </c>
      <c r="BF38" s="24">
        <f>38</f>
        <v>38</v>
      </c>
      <c r="BH38" s="24">
        <f>F38*AO38</f>
        <v>0</v>
      </c>
      <c r="BI38" s="24">
        <f>F38*AP38</f>
        <v>0</v>
      </c>
      <c r="BJ38" s="24">
        <f>F38*G38</f>
        <v>0</v>
      </c>
      <c r="BK38" s="26" t="s">
        <v>56</v>
      </c>
      <c r="BL38" s="24">
        <v>59</v>
      </c>
      <c r="BW38" s="24">
        <v>21</v>
      </c>
      <c r="BX38" s="4" t="s">
        <v>126</v>
      </c>
    </row>
    <row r="39" spans="1:76" ht="25.5" x14ac:dyDescent="0.25">
      <c r="A39" s="2" t="s">
        <v>128</v>
      </c>
      <c r="B39" s="3" t="s">
        <v>129</v>
      </c>
      <c r="C39" s="71" t="s">
        <v>130</v>
      </c>
      <c r="D39" s="66"/>
      <c r="E39" s="3" t="s">
        <v>62</v>
      </c>
      <c r="F39" s="24">
        <v>184.5</v>
      </c>
      <c r="G39" s="59">
        <v>0</v>
      </c>
      <c r="H39" s="24">
        <f>ROUND(F39*AO39,2)</f>
        <v>0</v>
      </c>
      <c r="I39" s="24">
        <f>ROUND(F39*AP39,2)</f>
        <v>0</v>
      </c>
      <c r="J39" s="24">
        <f>ROUND(F39*G39,2)</f>
        <v>0</v>
      </c>
      <c r="K39" s="25" t="s">
        <v>63</v>
      </c>
      <c r="Z39" s="24">
        <f>ROUND(IF(AQ39="5",BJ39,0),2)</f>
        <v>0</v>
      </c>
      <c r="AB39" s="24">
        <f>ROUND(IF(AQ39="1",BH39,0),2)</f>
        <v>0</v>
      </c>
      <c r="AC39" s="24">
        <f>ROUND(IF(AQ39="1",BI39,0),2)</f>
        <v>0</v>
      </c>
      <c r="AD39" s="24">
        <f>ROUND(IF(AQ39="7",BH39,0),2)</f>
        <v>0</v>
      </c>
      <c r="AE39" s="24">
        <f>ROUND(IF(AQ39="7",BI39,0),2)</f>
        <v>0</v>
      </c>
      <c r="AF39" s="24">
        <f>ROUND(IF(AQ39="2",BH39,0),2)</f>
        <v>0</v>
      </c>
      <c r="AG39" s="24">
        <f>ROUND(IF(AQ39="2",BI39,0),2)</f>
        <v>0</v>
      </c>
      <c r="AH39" s="24">
        <f>ROUND(IF(AQ39="0",BJ39,0),2)</f>
        <v>0</v>
      </c>
      <c r="AI39" s="10" t="s">
        <v>47</v>
      </c>
      <c r="AJ39" s="24">
        <f>IF(AN39=0,J39,0)</f>
        <v>0</v>
      </c>
      <c r="AK39" s="24">
        <f>IF(AN39=12,J39,0)</f>
        <v>0</v>
      </c>
      <c r="AL39" s="24">
        <f>IF(AN39=21,J39,0)</f>
        <v>0</v>
      </c>
      <c r="AN39" s="24">
        <v>21</v>
      </c>
      <c r="AO39" s="24">
        <f>G39*1</f>
        <v>0</v>
      </c>
      <c r="AP39" s="24">
        <f>G39*(1-1)</f>
        <v>0</v>
      </c>
      <c r="AQ39" s="26" t="s">
        <v>50</v>
      </c>
      <c r="AV39" s="24">
        <f>ROUND(AW39+AX39,2)</f>
        <v>0</v>
      </c>
      <c r="AW39" s="24">
        <f>ROUND(F39*AO39,2)</f>
        <v>0</v>
      </c>
      <c r="AX39" s="24">
        <f>ROUND(F39*AP39,2)</f>
        <v>0</v>
      </c>
      <c r="AY39" s="26" t="s">
        <v>127</v>
      </c>
      <c r="AZ39" s="26" t="s">
        <v>127</v>
      </c>
      <c r="BA39" s="10" t="s">
        <v>55</v>
      </c>
      <c r="BC39" s="24">
        <f>AW39+AX39</f>
        <v>0</v>
      </c>
      <c r="BD39" s="24">
        <f>G39/(100-BE39)*100</f>
        <v>0</v>
      </c>
      <c r="BE39" s="24">
        <v>0</v>
      </c>
      <c r="BF39" s="24">
        <f>39</f>
        <v>39</v>
      </c>
      <c r="BH39" s="24">
        <f>F39*AO39</f>
        <v>0</v>
      </c>
      <c r="BI39" s="24">
        <f>F39*AP39</f>
        <v>0</v>
      </c>
      <c r="BJ39" s="24">
        <f>F39*G39</f>
        <v>0</v>
      </c>
      <c r="BK39" s="26" t="s">
        <v>101</v>
      </c>
      <c r="BL39" s="24">
        <v>59</v>
      </c>
      <c r="BW39" s="24">
        <v>21</v>
      </c>
      <c r="BX39" s="4" t="s">
        <v>130</v>
      </c>
    </row>
    <row r="40" spans="1:76" x14ac:dyDescent="0.25">
      <c r="A40" s="27" t="s">
        <v>47</v>
      </c>
      <c r="B40" s="28" t="s">
        <v>131</v>
      </c>
      <c r="C40" s="89" t="s">
        <v>132</v>
      </c>
      <c r="D40" s="90"/>
      <c r="E40" s="29" t="s">
        <v>28</v>
      </c>
      <c r="F40" s="29" t="s">
        <v>28</v>
      </c>
      <c r="G40" s="29" t="s">
        <v>28</v>
      </c>
      <c r="H40" s="1">
        <f>ROUND(SUM(H41:H44),2)</f>
        <v>0</v>
      </c>
      <c r="I40" s="1">
        <f>ROUND(SUM(I41:I44),2)</f>
        <v>0</v>
      </c>
      <c r="J40" s="1">
        <f>ROUND(SUM(J41:J44),2)</f>
        <v>0</v>
      </c>
      <c r="K40" s="30" t="s">
        <v>47</v>
      </c>
      <c r="AI40" s="10" t="s">
        <v>47</v>
      </c>
      <c r="AS40" s="1">
        <f>SUM(AJ41:AJ44)</f>
        <v>0</v>
      </c>
      <c r="AT40" s="1">
        <f>SUM(AK41:AK44)</f>
        <v>0</v>
      </c>
      <c r="AU40" s="1">
        <f>SUM(AL41:AL44)</f>
        <v>0</v>
      </c>
    </row>
    <row r="41" spans="1:76" x14ac:dyDescent="0.25">
      <c r="A41" s="2" t="s">
        <v>133</v>
      </c>
      <c r="B41" s="3" t="s">
        <v>134</v>
      </c>
      <c r="C41" s="71" t="s">
        <v>135</v>
      </c>
      <c r="D41" s="66"/>
      <c r="E41" s="3" t="s">
        <v>136</v>
      </c>
      <c r="F41" s="24">
        <v>33.299999999999997</v>
      </c>
      <c r="G41" s="59">
        <v>0</v>
      </c>
      <c r="H41" s="24">
        <f>ROUND(F41*AO41,2)</f>
        <v>0</v>
      </c>
      <c r="I41" s="24">
        <f>ROUND(F41*AP41,2)</f>
        <v>0</v>
      </c>
      <c r="J41" s="24">
        <f>ROUND(F41*G41,2)</f>
        <v>0</v>
      </c>
      <c r="K41" s="25" t="s">
        <v>63</v>
      </c>
      <c r="Z41" s="24">
        <f>ROUND(IF(AQ41="5",BJ41,0),2)</f>
        <v>0</v>
      </c>
      <c r="AB41" s="24">
        <f>ROUND(IF(AQ41="1",BH41,0),2)</f>
        <v>0</v>
      </c>
      <c r="AC41" s="24">
        <f>ROUND(IF(AQ41="1",BI41,0),2)</f>
        <v>0</v>
      </c>
      <c r="AD41" s="24">
        <f>ROUND(IF(AQ41="7",BH41,0),2)</f>
        <v>0</v>
      </c>
      <c r="AE41" s="24">
        <f>ROUND(IF(AQ41="7",BI41,0),2)</f>
        <v>0</v>
      </c>
      <c r="AF41" s="24">
        <f>ROUND(IF(AQ41="2",BH41,0),2)</f>
        <v>0</v>
      </c>
      <c r="AG41" s="24">
        <f>ROUND(IF(AQ41="2",BI41,0),2)</f>
        <v>0</v>
      </c>
      <c r="AH41" s="24">
        <f>ROUND(IF(AQ41="0",BJ41,0),2)</f>
        <v>0</v>
      </c>
      <c r="AI41" s="10" t="s">
        <v>47</v>
      </c>
      <c r="AJ41" s="24">
        <f>IF(AN41=0,J41,0)</f>
        <v>0</v>
      </c>
      <c r="AK41" s="24">
        <f>IF(AN41=12,J41,0)</f>
        <v>0</v>
      </c>
      <c r="AL41" s="24">
        <f>IF(AN41=21,J41,0)</f>
        <v>0</v>
      </c>
      <c r="AN41" s="24">
        <v>21</v>
      </c>
      <c r="AO41" s="24">
        <f>G41*0.011264937</f>
        <v>0</v>
      </c>
      <c r="AP41" s="24">
        <f>G41*(1-0.011264937)</f>
        <v>0</v>
      </c>
      <c r="AQ41" s="26" t="s">
        <v>76</v>
      </c>
      <c r="AV41" s="24">
        <f>ROUND(AW41+AX41,2)</f>
        <v>0</v>
      </c>
      <c r="AW41" s="24">
        <f>ROUND(F41*AO41,2)</f>
        <v>0</v>
      </c>
      <c r="AX41" s="24">
        <f>ROUND(F41*AP41,2)</f>
        <v>0</v>
      </c>
      <c r="AY41" s="26" t="s">
        <v>137</v>
      </c>
      <c r="AZ41" s="26" t="s">
        <v>137</v>
      </c>
      <c r="BA41" s="10" t="s">
        <v>55</v>
      </c>
      <c r="BC41" s="24">
        <f>AW41+AX41</f>
        <v>0</v>
      </c>
      <c r="BD41" s="24">
        <f>G41/(100-BE41)*100</f>
        <v>0</v>
      </c>
      <c r="BE41" s="24">
        <v>0</v>
      </c>
      <c r="BF41" s="24">
        <f>41</f>
        <v>41</v>
      </c>
      <c r="BH41" s="24">
        <f>F41*AO41</f>
        <v>0</v>
      </c>
      <c r="BI41" s="24">
        <f>F41*AP41</f>
        <v>0</v>
      </c>
      <c r="BJ41" s="24">
        <f>F41*G41</f>
        <v>0</v>
      </c>
      <c r="BK41" s="26" t="s">
        <v>56</v>
      </c>
      <c r="BL41" s="24"/>
      <c r="BW41" s="24">
        <v>21</v>
      </c>
      <c r="BX41" s="4" t="s">
        <v>135</v>
      </c>
    </row>
    <row r="42" spans="1:76" ht="25.5" x14ac:dyDescent="0.25">
      <c r="A42" s="2" t="s">
        <v>138</v>
      </c>
      <c r="B42" s="3" t="s">
        <v>139</v>
      </c>
      <c r="C42" s="71" t="s">
        <v>140</v>
      </c>
      <c r="D42" s="66"/>
      <c r="E42" s="3" t="s">
        <v>136</v>
      </c>
      <c r="F42" s="24">
        <v>699.3</v>
      </c>
      <c r="G42" s="59">
        <v>0</v>
      </c>
      <c r="H42" s="24">
        <f>ROUND(F42*AO42,2)</f>
        <v>0</v>
      </c>
      <c r="I42" s="24">
        <f>ROUND(F42*AP42,2)</f>
        <v>0</v>
      </c>
      <c r="J42" s="24">
        <f>ROUND(F42*G42,2)</f>
        <v>0</v>
      </c>
      <c r="K42" s="25" t="s">
        <v>63</v>
      </c>
      <c r="Z42" s="24">
        <f>ROUND(IF(AQ42="5",BJ42,0),2)</f>
        <v>0</v>
      </c>
      <c r="AB42" s="24">
        <f>ROUND(IF(AQ42="1",BH42,0),2)</f>
        <v>0</v>
      </c>
      <c r="AC42" s="24">
        <f>ROUND(IF(AQ42="1",BI42,0),2)</f>
        <v>0</v>
      </c>
      <c r="AD42" s="24">
        <f>ROUND(IF(AQ42="7",BH42,0),2)</f>
        <v>0</v>
      </c>
      <c r="AE42" s="24">
        <f>ROUND(IF(AQ42="7",BI42,0),2)</f>
        <v>0</v>
      </c>
      <c r="AF42" s="24">
        <f>ROUND(IF(AQ42="2",BH42,0),2)</f>
        <v>0</v>
      </c>
      <c r="AG42" s="24">
        <f>ROUND(IF(AQ42="2",BI42,0),2)</f>
        <v>0</v>
      </c>
      <c r="AH42" s="24">
        <f>ROUND(IF(AQ42="0",BJ42,0),2)</f>
        <v>0</v>
      </c>
      <c r="AI42" s="10" t="s">
        <v>47</v>
      </c>
      <c r="AJ42" s="24">
        <f>IF(AN42=0,J42,0)</f>
        <v>0</v>
      </c>
      <c r="AK42" s="24">
        <f>IF(AN42=12,J42,0)</f>
        <v>0</v>
      </c>
      <c r="AL42" s="24">
        <f>IF(AN42=21,J42,0)</f>
        <v>0</v>
      </c>
      <c r="AN42" s="24">
        <v>21</v>
      </c>
      <c r="AO42" s="24">
        <f>G42*0</f>
        <v>0</v>
      </c>
      <c r="AP42" s="24">
        <f>G42*(1-0)</f>
        <v>0</v>
      </c>
      <c r="AQ42" s="26" t="s">
        <v>76</v>
      </c>
      <c r="AV42" s="24">
        <f>ROUND(AW42+AX42,2)</f>
        <v>0</v>
      </c>
      <c r="AW42" s="24">
        <f>ROUND(F42*AO42,2)</f>
        <v>0</v>
      </c>
      <c r="AX42" s="24">
        <f>ROUND(F42*AP42,2)</f>
        <v>0</v>
      </c>
      <c r="AY42" s="26" t="s">
        <v>137</v>
      </c>
      <c r="AZ42" s="26" t="s">
        <v>137</v>
      </c>
      <c r="BA42" s="10" t="s">
        <v>55</v>
      </c>
      <c r="BC42" s="24">
        <f>AW42+AX42</f>
        <v>0</v>
      </c>
      <c r="BD42" s="24">
        <f>G42/(100-BE42)*100</f>
        <v>0</v>
      </c>
      <c r="BE42" s="24">
        <v>0</v>
      </c>
      <c r="BF42" s="24">
        <f>42</f>
        <v>42</v>
      </c>
      <c r="BH42" s="24">
        <f>F42*AO42</f>
        <v>0</v>
      </c>
      <c r="BI42" s="24">
        <f>F42*AP42</f>
        <v>0</v>
      </c>
      <c r="BJ42" s="24">
        <f>F42*G42</f>
        <v>0</v>
      </c>
      <c r="BK42" s="26" t="s">
        <v>56</v>
      </c>
      <c r="BL42" s="24"/>
      <c r="BW42" s="24">
        <v>21</v>
      </c>
      <c r="BX42" s="4" t="s">
        <v>140</v>
      </c>
    </row>
    <row r="43" spans="1:76" x14ac:dyDescent="0.25">
      <c r="A43" s="2" t="s">
        <v>141</v>
      </c>
      <c r="B43" s="3" t="s">
        <v>142</v>
      </c>
      <c r="C43" s="71" t="s">
        <v>143</v>
      </c>
      <c r="D43" s="66"/>
      <c r="E43" s="3" t="s">
        <v>136</v>
      </c>
      <c r="F43" s="24">
        <v>33.299999999999997</v>
      </c>
      <c r="G43" s="59">
        <v>0</v>
      </c>
      <c r="H43" s="24">
        <f>ROUND(F43*AO43,2)</f>
        <v>0</v>
      </c>
      <c r="I43" s="24">
        <f>ROUND(F43*AP43,2)</f>
        <v>0</v>
      </c>
      <c r="J43" s="24">
        <f>ROUND(F43*G43,2)</f>
        <v>0</v>
      </c>
      <c r="K43" s="25" t="s">
        <v>63</v>
      </c>
      <c r="Z43" s="24">
        <f>ROUND(IF(AQ43="5",BJ43,0),2)</f>
        <v>0</v>
      </c>
      <c r="AB43" s="24">
        <f>ROUND(IF(AQ43="1",BH43,0),2)</f>
        <v>0</v>
      </c>
      <c r="AC43" s="24">
        <f>ROUND(IF(AQ43="1",BI43,0),2)</f>
        <v>0</v>
      </c>
      <c r="AD43" s="24">
        <f>ROUND(IF(AQ43="7",BH43,0),2)</f>
        <v>0</v>
      </c>
      <c r="AE43" s="24">
        <f>ROUND(IF(AQ43="7",BI43,0),2)</f>
        <v>0</v>
      </c>
      <c r="AF43" s="24">
        <f>ROUND(IF(AQ43="2",BH43,0),2)</f>
        <v>0</v>
      </c>
      <c r="AG43" s="24">
        <f>ROUND(IF(AQ43="2",BI43,0),2)</f>
        <v>0</v>
      </c>
      <c r="AH43" s="24">
        <f>ROUND(IF(AQ43="0",BJ43,0),2)</f>
        <v>0</v>
      </c>
      <c r="AI43" s="10" t="s">
        <v>47</v>
      </c>
      <c r="AJ43" s="24">
        <f>IF(AN43=0,J43,0)</f>
        <v>0</v>
      </c>
      <c r="AK43" s="24">
        <f>IF(AN43=12,J43,0)</f>
        <v>0</v>
      </c>
      <c r="AL43" s="24">
        <f>IF(AN43=21,J43,0)</f>
        <v>0</v>
      </c>
      <c r="AN43" s="24">
        <v>21</v>
      </c>
      <c r="AO43" s="24">
        <f>G43*0</f>
        <v>0</v>
      </c>
      <c r="AP43" s="24">
        <f>G43*(1-0)</f>
        <v>0</v>
      </c>
      <c r="AQ43" s="26" t="s">
        <v>76</v>
      </c>
      <c r="AV43" s="24">
        <f>ROUND(AW43+AX43,2)</f>
        <v>0</v>
      </c>
      <c r="AW43" s="24">
        <f>ROUND(F43*AO43,2)</f>
        <v>0</v>
      </c>
      <c r="AX43" s="24">
        <f>ROUND(F43*AP43,2)</f>
        <v>0</v>
      </c>
      <c r="AY43" s="26" t="s">
        <v>137</v>
      </c>
      <c r="AZ43" s="26" t="s">
        <v>137</v>
      </c>
      <c r="BA43" s="10" t="s">
        <v>55</v>
      </c>
      <c r="BC43" s="24">
        <f>AW43+AX43</f>
        <v>0</v>
      </c>
      <c r="BD43" s="24">
        <f>G43/(100-BE43)*100</f>
        <v>0</v>
      </c>
      <c r="BE43" s="24">
        <v>0</v>
      </c>
      <c r="BF43" s="24">
        <f>43</f>
        <v>43</v>
      </c>
      <c r="BH43" s="24">
        <f>F43*AO43</f>
        <v>0</v>
      </c>
      <c r="BI43" s="24">
        <f>F43*AP43</f>
        <v>0</v>
      </c>
      <c r="BJ43" s="24">
        <f>F43*G43</f>
        <v>0</v>
      </c>
      <c r="BK43" s="26" t="s">
        <v>56</v>
      </c>
      <c r="BL43" s="24"/>
      <c r="BW43" s="24">
        <v>21</v>
      </c>
      <c r="BX43" s="4" t="s">
        <v>143</v>
      </c>
    </row>
    <row r="44" spans="1:76" x14ac:dyDescent="0.25">
      <c r="A44" s="2" t="s">
        <v>144</v>
      </c>
      <c r="B44" s="3" t="s">
        <v>145</v>
      </c>
      <c r="C44" s="71" t="s">
        <v>146</v>
      </c>
      <c r="D44" s="66"/>
      <c r="E44" s="3" t="s">
        <v>136</v>
      </c>
      <c r="F44" s="24">
        <v>225.1456</v>
      </c>
      <c r="G44" s="59">
        <v>0</v>
      </c>
      <c r="H44" s="24">
        <f>ROUND(F44*AO44,2)</f>
        <v>0</v>
      </c>
      <c r="I44" s="24">
        <f>ROUND(F44*AP44,2)</f>
        <v>0</v>
      </c>
      <c r="J44" s="24">
        <f>ROUND(F44*G44,2)</f>
        <v>0</v>
      </c>
      <c r="K44" s="25" t="s">
        <v>63</v>
      </c>
      <c r="Z44" s="24">
        <f>ROUND(IF(AQ44="5",BJ44,0),2)</f>
        <v>0</v>
      </c>
      <c r="AB44" s="24">
        <f>ROUND(IF(AQ44="1",BH44,0),2)</f>
        <v>0</v>
      </c>
      <c r="AC44" s="24">
        <f>ROUND(IF(AQ44="1",BI44,0),2)</f>
        <v>0</v>
      </c>
      <c r="AD44" s="24">
        <f>ROUND(IF(AQ44="7",BH44,0),2)</f>
        <v>0</v>
      </c>
      <c r="AE44" s="24">
        <f>ROUND(IF(AQ44="7",BI44,0),2)</f>
        <v>0</v>
      </c>
      <c r="AF44" s="24">
        <f>ROUND(IF(AQ44="2",BH44,0),2)</f>
        <v>0</v>
      </c>
      <c r="AG44" s="24">
        <f>ROUND(IF(AQ44="2",BI44,0),2)</f>
        <v>0</v>
      </c>
      <c r="AH44" s="24">
        <f>ROUND(IF(AQ44="0",BJ44,0),2)</f>
        <v>0</v>
      </c>
      <c r="AI44" s="10" t="s">
        <v>47</v>
      </c>
      <c r="AJ44" s="24">
        <f>IF(AN44=0,J44,0)</f>
        <v>0</v>
      </c>
      <c r="AK44" s="24">
        <f>IF(AN44=12,J44,0)</f>
        <v>0</v>
      </c>
      <c r="AL44" s="24">
        <f>IF(AN44=21,J44,0)</f>
        <v>0</v>
      </c>
      <c r="AN44" s="24">
        <v>21</v>
      </c>
      <c r="AO44" s="24">
        <f>G44*0</f>
        <v>0</v>
      </c>
      <c r="AP44" s="24">
        <f>G44*(1-0)</f>
        <v>0</v>
      </c>
      <c r="AQ44" s="26" t="s">
        <v>76</v>
      </c>
      <c r="AV44" s="24">
        <f>ROUND(AW44+AX44,2)</f>
        <v>0</v>
      </c>
      <c r="AW44" s="24">
        <f>ROUND(F44*AO44,2)</f>
        <v>0</v>
      </c>
      <c r="AX44" s="24">
        <f>ROUND(F44*AP44,2)</f>
        <v>0</v>
      </c>
      <c r="AY44" s="26" t="s">
        <v>137</v>
      </c>
      <c r="AZ44" s="26" t="s">
        <v>137</v>
      </c>
      <c r="BA44" s="10" t="s">
        <v>55</v>
      </c>
      <c r="BC44" s="24">
        <f>AW44+AX44</f>
        <v>0</v>
      </c>
      <c r="BD44" s="24">
        <f>G44/(100-BE44)*100</f>
        <v>0</v>
      </c>
      <c r="BE44" s="24">
        <v>0</v>
      </c>
      <c r="BF44" s="24">
        <f>44</f>
        <v>44</v>
      </c>
      <c r="BH44" s="24">
        <f>F44*AO44</f>
        <v>0</v>
      </c>
      <c r="BI44" s="24">
        <f>F44*AP44</f>
        <v>0</v>
      </c>
      <c r="BJ44" s="24">
        <f>F44*G44</f>
        <v>0</v>
      </c>
      <c r="BK44" s="26" t="s">
        <v>56</v>
      </c>
      <c r="BL44" s="24"/>
      <c r="BW44" s="24">
        <v>21</v>
      </c>
      <c r="BX44" s="4" t="s">
        <v>146</v>
      </c>
    </row>
    <row r="45" spans="1:76" x14ac:dyDescent="0.25">
      <c r="A45" s="27" t="s">
        <v>47</v>
      </c>
      <c r="B45" s="28" t="s">
        <v>147</v>
      </c>
      <c r="C45" s="89" t="s">
        <v>148</v>
      </c>
      <c r="D45" s="90"/>
      <c r="E45" s="29" t="s">
        <v>28</v>
      </c>
      <c r="F45" s="29" t="s">
        <v>28</v>
      </c>
      <c r="G45" s="29" t="s">
        <v>28</v>
      </c>
      <c r="H45" s="1">
        <f>H46+H49+H53</f>
        <v>0</v>
      </c>
      <c r="I45" s="1">
        <f>I46+I49+I53</f>
        <v>0</v>
      </c>
      <c r="J45" s="1">
        <f>J46+J49+J53</f>
        <v>0</v>
      </c>
      <c r="K45" s="30" t="s">
        <v>47</v>
      </c>
      <c r="AI45" s="10" t="s">
        <v>47</v>
      </c>
    </row>
    <row r="46" spans="1:76" x14ac:dyDescent="0.25">
      <c r="A46" s="27" t="s">
        <v>47</v>
      </c>
      <c r="B46" s="28" t="s">
        <v>149</v>
      </c>
      <c r="C46" s="89" t="s">
        <v>150</v>
      </c>
      <c r="D46" s="90"/>
      <c r="E46" s="29" t="s">
        <v>28</v>
      </c>
      <c r="F46" s="29" t="s">
        <v>28</v>
      </c>
      <c r="G46" s="29" t="s">
        <v>28</v>
      </c>
      <c r="H46" s="1">
        <f>ROUND(SUM(H47:H48),2)</f>
        <v>0</v>
      </c>
      <c r="I46" s="1">
        <f>ROUND(SUM(I47:I48),2)</f>
        <v>0</v>
      </c>
      <c r="J46" s="1">
        <f>ROUND(SUM(J47:J48),2)</f>
        <v>0</v>
      </c>
      <c r="K46" s="30" t="s">
        <v>47</v>
      </c>
      <c r="AI46" s="10" t="s">
        <v>47</v>
      </c>
      <c r="AS46" s="1">
        <f>SUM(AJ47:AJ48)</f>
        <v>0</v>
      </c>
      <c r="AT46" s="1">
        <f>SUM(AK47:AK48)</f>
        <v>0</v>
      </c>
      <c r="AU46" s="1">
        <f>SUM(AL47:AL48)</f>
        <v>0</v>
      </c>
    </row>
    <row r="47" spans="1:76" x14ac:dyDescent="0.25">
      <c r="A47" s="2" t="s">
        <v>151</v>
      </c>
      <c r="B47" s="3" t="s">
        <v>152</v>
      </c>
      <c r="C47" s="71" t="s">
        <v>153</v>
      </c>
      <c r="D47" s="66"/>
      <c r="E47" s="3" t="s">
        <v>154</v>
      </c>
      <c r="F47" s="24">
        <v>1</v>
      </c>
      <c r="G47" s="59">
        <v>0</v>
      </c>
      <c r="H47" s="24">
        <f>ROUND(F47*AO47,2)</f>
        <v>0</v>
      </c>
      <c r="I47" s="24">
        <f>ROUND(F47*AP47,2)</f>
        <v>0</v>
      </c>
      <c r="J47" s="24">
        <f>ROUND(F47*G47,2)</f>
        <v>0</v>
      </c>
      <c r="K47" s="25" t="s">
        <v>63</v>
      </c>
      <c r="Z47" s="24">
        <f>ROUND(IF(AQ47="5",BJ47,0),2)</f>
        <v>0</v>
      </c>
      <c r="AB47" s="24">
        <f>ROUND(IF(AQ47="1",BH47,0),2)</f>
        <v>0</v>
      </c>
      <c r="AC47" s="24">
        <f>ROUND(IF(AQ47="1",BI47,0),2)</f>
        <v>0</v>
      </c>
      <c r="AD47" s="24">
        <f>ROUND(IF(AQ47="7",BH47,0),2)</f>
        <v>0</v>
      </c>
      <c r="AE47" s="24">
        <f>ROUND(IF(AQ47="7",BI47,0),2)</f>
        <v>0</v>
      </c>
      <c r="AF47" s="24">
        <f>ROUND(IF(AQ47="2",BH47,0),2)</f>
        <v>0</v>
      </c>
      <c r="AG47" s="24">
        <f>ROUND(IF(AQ47="2",BI47,0),2)</f>
        <v>0</v>
      </c>
      <c r="AH47" s="24">
        <f>ROUND(IF(AQ47="0",BJ47,0),2)</f>
        <v>0</v>
      </c>
      <c r="AI47" s="10" t="s">
        <v>47</v>
      </c>
      <c r="AJ47" s="24">
        <f>IF(AN47=0,J47,0)</f>
        <v>0</v>
      </c>
      <c r="AK47" s="24">
        <f>IF(AN47=12,J47,0)</f>
        <v>0</v>
      </c>
      <c r="AL47" s="24">
        <f>IF(AN47=21,J47,0)</f>
        <v>0</v>
      </c>
      <c r="AN47" s="24">
        <v>21</v>
      </c>
      <c r="AO47" s="24">
        <f>G47*0</f>
        <v>0</v>
      </c>
      <c r="AP47" s="24">
        <f>G47*(1-0)</f>
        <v>0</v>
      </c>
      <c r="AQ47" s="26" t="s">
        <v>155</v>
      </c>
      <c r="AV47" s="24">
        <f>ROUND(AW47+AX47,2)</f>
        <v>0</v>
      </c>
      <c r="AW47" s="24">
        <f>ROUND(F47*AO47,2)</f>
        <v>0</v>
      </c>
      <c r="AX47" s="24">
        <f>ROUND(F47*AP47,2)</f>
        <v>0</v>
      </c>
      <c r="AY47" s="26" t="s">
        <v>156</v>
      </c>
      <c r="AZ47" s="26" t="s">
        <v>156</v>
      </c>
      <c r="BA47" s="10" t="s">
        <v>55</v>
      </c>
      <c r="BC47" s="24">
        <f>AW47+AX47</f>
        <v>0</v>
      </c>
      <c r="BD47" s="24">
        <f>G47/(100-BE47)*100</f>
        <v>0</v>
      </c>
      <c r="BE47" s="24">
        <v>0</v>
      </c>
      <c r="BF47" s="24">
        <f>47</f>
        <v>47</v>
      </c>
      <c r="BH47" s="24">
        <f>F47*AO47</f>
        <v>0</v>
      </c>
      <c r="BI47" s="24">
        <f>F47*AP47</f>
        <v>0</v>
      </c>
      <c r="BJ47" s="24">
        <f>F47*G47</f>
        <v>0</v>
      </c>
      <c r="BK47" s="26" t="s">
        <v>56</v>
      </c>
      <c r="BL47" s="24"/>
      <c r="BM47" s="24">
        <f>F47*G47</f>
        <v>0</v>
      </c>
      <c r="BW47" s="24">
        <v>21</v>
      </c>
      <c r="BX47" s="4" t="s">
        <v>153</v>
      </c>
    </row>
    <row r="48" spans="1:76" ht="9.75" customHeight="1" x14ac:dyDescent="0.25">
      <c r="A48" s="2"/>
      <c r="B48" s="3"/>
      <c r="C48" s="71"/>
      <c r="D48" s="66"/>
      <c r="E48" s="3"/>
      <c r="F48" s="24"/>
      <c r="G48" s="24"/>
      <c r="H48" s="24"/>
      <c r="I48" s="24"/>
      <c r="J48" s="24"/>
      <c r="K48" s="25"/>
      <c r="Z48" s="24">
        <f>ROUND(IF(AQ48="5",BJ48,0),2)</f>
        <v>0</v>
      </c>
      <c r="AB48" s="24">
        <f>ROUND(IF(AQ48="1",BH48,0),2)</f>
        <v>0</v>
      </c>
      <c r="AC48" s="24">
        <f>ROUND(IF(AQ48="1",BI48,0),2)</f>
        <v>0</v>
      </c>
      <c r="AD48" s="24">
        <f>ROUND(IF(AQ48="7",BH48,0),2)</f>
        <v>0</v>
      </c>
      <c r="AE48" s="24">
        <f>ROUND(IF(AQ48="7",BI48,0),2)</f>
        <v>0</v>
      </c>
      <c r="AF48" s="24">
        <f>ROUND(IF(AQ48="2",BH48,0),2)</f>
        <v>0</v>
      </c>
      <c r="AG48" s="24">
        <f>ROUND(IF(AQ48="2",BI48,0),2)</f>
        <v>0</v>
      </c>
      <c r="AH48" s="24">
        <f>ROUND(IF(AQ48="0",BJ48,0),2)</f>
        <v>0</v>
      </c>
      <c r="AI48" s="10" t="s">
        <v>47</v>
      </c>
      <c r="AJ48" s="24">
        <f>IF(AN48=0,J48,0)</f>
        <v>0</v>
      </c>
      <c r="AK48" s="24">
        <f>IF(AN48=12,J48,0)</f>
        <v>0</v>
      </c>
      <c r="AL48" s="24">
        <f>IF(AN48=21,J48,0)</f>
        <v>0</v>
      </c>
      <c r="AN48" s="24">
        <v>21</v>
      </c>
      <c r="AO48" s="24">
        <f>G48*0</f>
        <v>0</v>
      </c>
      <c r="AP48" s="24">
        <f>G48*(1-0)</f>
        <v>0</v>
      </c>
      <c r="AQ48" s="26" t="s">
        <v>155</v>
      </c>
      <c r="AV48" s="24">
        <f>ROUND(AW48+AX48,2)</f>
        <v>0</v>
      </c>
      <c r="AW48" s="24">
        <f>ROUND(F48*AO48,2)</f>
        <v>0</v>
      </c>
      <c r="AX48" s="24">
        <f>ROUND(F48*AP48,2)</f>
        <v>0</v>
      </c>
      <c r="AY48" s="26" t="s">
        <v>156</v>
      </c>
      <c r="AZ48" s="26" t="s">
        <v>156</v>
      </c>
      <c r="BA48" s="10" t="s">
        <v>55</v>
      </c>
      <c r="BC48" s="24">
        <f>AW48+AX48</f>
        <v>0</v>
      </c>
      <c r="BD48" s="24">
        <f>G48/(100-BE48)*100</f>
        <v>0</v>
      </c>
      <c r="BE48" s="24">
        <v>0</v>
      </c>
      <c r="BF48" s="24">
        <f>48</f>
        <v>48</v>
      </c>
      <c r="BH48" s="24">
        <f>F48*AO48</f>
        <v>0</v>
      </c>
      <c r="BI48" s="24">
        <f>F48*AP48</f>
        <v>0</v>
      </c>
      <c r="BJ48" s="24">
        <f>F48*G48</f>
        <v>0</v>
      </c>
      <c r="BK48" s="26" t="s">
        <v>56</v>
      </c>
      <c r="BL48" s="24"/>
      <c r="BM48" s="24">
        <f>F48*G48</f>
        <v>0</v>
      </c>
      <c r="BW48" s="24">
        <v>21</v>
      </c>
      <c r="BX48" s="4" t="s">
        <v>157</v>
      </c>
    </row>
    <row r="49" spans="1:76" x14ac:dyDescent="0.25">
      <c r="A49" s="27" t="s">
        <v>47</v>
      </c>
      <c r="B49" s="28" t="s">
        <v>158</v>
      </c>
      <c r="C49" s="89" t="s">
        <v>159</v>
      </c>
      <c r="D49" s="90"/>
      <c r="E49" s="29" t="s">
        <v>28</v>
      </c>
      <c r="F49" s="29" t="s">
        <v>28</v>
      </c>
      <c r="G49" s="29" t="s">
        <v>28</v>
      </c>
      <c r="H49" s="1">
        <f>ROUND(SUM(H50:H52),2)</f>
        <v>0</v>
      </c>
      <c r="I49" s="1">
        <f>ROUND(SUM(I50:I52),2)</f>
        <v>0</v>
      </c>
      <c r="J49" s="1">
        <f>ROUND(SUM(J50:J52),2)</f>
        <v>0</v>
      </c>
      <c r="K49" s="30" t="s">
        <v>47</v>
      </c>
      <c r="AI49" s="10" t="s">
        <v>47</v>
      </c>
      <c r="AS49" s="1">
        <f>SUM(AJ50:AJ52)</f>
        <v>0</v>
      </c>
      <c r="AT49" s="1">
        <f>SUM(AK50:AK52)</f>
        <v>0</v>
      </c>
      <c r="AU49" s="1">
        <f>SUM(AL50:AL52)</f>
        <v>0</v>
      </c>
    </row>
    <row r="50" spans="1:76" x14ac:dyDescent="0.25">
      <c r="A50" s="2" t="s">
        <v>160</v>
      </c>
      <c r="B50" s="3" t="s">
        <v>161</v>
      </c>
      <c r="C50" s="71" t="s">
        <v>159</v>
      </c>
      <c r="D50" s="66"/>
      <c r="E50" s="3" t="s">
        <v>154</v>
      </c>
      <c r="F50" s="24">
        <v>1</v>
      </c>
      <c r="G50" s="59">
        <v>0</v>
      </c>
      <c r="H50" s="24">
        <f>ROUND(F50*AO50,2)</f>
        <v>0</v>
      </c>
      <c r="I50" s="24">
        <f>ROUND(F50*AP50,2)</f>
        <v>0</v>
      </c>
      <c r="J50" s="24">
        <f>ROUND(F50*G50,2)</f>
        <v>0</v>
      </c>
      <c r="K50" s="25" t="s">
        <v>63</v>
      </c>
      <c r="Z50" s="24">
        <f>ROUND(IF(AQ50="5",BJ50,0),2)</f>
        <v>0</v>
      </c>
      <c r="AB50" s="24">
        <f>ROUND(IF(AQ50="1",BH50,0),2)</f>
        <v>0</v>
      </c>
      <c r="AC50" s="24">
        <f>ROUND(IF(AQ50="1",BI50,0),2)</f>
        <v>0</v>
      </c>
      <c r="AD50" s="24">
        <f>ROUND(IF(AQ50="7",BH50,0),2)</f>
        <v>0</v>
      </c>
      <c r="AE50" s="24">
        <f>ROUND(IF(AQ50="7",BI50,0),2)</f>
        <v>0</v>
      </c>
      <c r="AF50" s="24">
        <f>ROUND(IF(AQ50="2",BH50,0),2)</f>
        <v>0</v>
      </c>
      <c r="AG50" s="24">
        <f>ROUND(IF(AQ50="2",BI50,0),2)</f>
        <v>0</v>
      </c>
      <c r="AH50" s="24">
        <f>ROUND(IF(AQ50="0",BJ50,0),2)</f>
        <v>0</v>
      </c>
      <c r="AI50" s="10" t="s">
        <v>47</v>
      </c>
      <c r="AJ50" s="24">
        <f>IF(AN50=0,J50,0)</f>
        <v>0</v>
      </c>
      <c r="AK50" s="24">
        <f>IF(AN50=12,J50,0)</f>
        <v>0</v>
      </c>
      <c r="AL50" s="24">
        <f>IF(AN50=21,J50,0)</f>
        <v>0</v>
      </c>
      <c r="AN50" s="24">
        <v>21</v>
      </c>
      <c r="AO50" s="24">
        <f>G50*0</f>
        <v>0</v>
      </c>
      <c r="AP50" s="24">
        <f>G50*(1-0)</f>
        <v>0</v>
      </c>
      <c r="AQ50" s="26" t="s">
        <v>155</v>
      </c>
      <c r="AV50" s="24">
        <f>ROUND(AW50+AX50,2)</f>
        <v>0</v>
      </c>
      <c r="AW50" s="24">
        <f>ROUND(F50*AO50,2)</f>
        <v>0</v>
      </c>
      <c r="AX50" s="24">
        <f>ROUND(F50*AP50,2)</f>
        <v>0</v>
      </c>
      <c r="AY50" s="26" t="s">
        <v>162</v>
      </c>
      <c r="AZ50" s="26" t="s">
        <v>162</v>
      </c>
      <c r="BA50" s="10" t="s">
        <v>55</v>
      </c>
      <c r="BC50" s="24">
        <f>AW50+AX50</f>
        <v>0</v>
      </c>
      <c r="BD50" s="24">
        <f>G50/(100-BE50)*100</f>
        <v>0</v>
      </c>
      <c r="BE50" s="24">
        <v>0</v>
      </c>
      <c r="BF50" s="24">
        <f>50</f>
        <v>50</v>
      </c>
      <c r="BH50" s="24">
        <f>F50*AO50</f>
        <v>0</v>
      </c>
      <c r="BI50" s="24">
        <f>F50*AP50</f>
        <v>0</v>
      </c>
      <c r="BJ50" s="24">
        <f>F50*G50</f>
        <v>0</v>
      </c>
      <c r="BK50" s="26" t="s">
        <v>56</v>
      </c>
      <c r="BL50" s="24"/>
      <c r="BO50" s="24">
        <f>F50*G50</f>
        <v>0</v>
      </c>
      <c r="BW50" s="24">
        <v>21</v>
      </c>
      <c r="BX50" s="4" t="s">
        <v>159</v>
      </c>
    </row>
    <row r="51" spans="1:76" x14ac:dyDescent="0.25">
      <c r="A51" s="2" t="s">
        <v>163</v>
      </c>
      <c r="B51" s="3" t="s">
        <v>164</v>
      </c>
      <c r="C51" s="71" t="s">
        <v>165</v>
      </c>
      <c r="D51" s="66"/>
      <c r="E51" s="3" t="s">
        <v>154</v>
      </c>
      <c r="F51" s="24">
        <v>1</v>
      </c>
      <c r="G51" s="59">
        <v>0</v>
      </c>
      <c r="H51" s="24">
        <f>ROUND(F51*AO51,2)</f>
        <v>0</v>
      </c>
      <c r="I51" s="24">
        <f>ROUND(F51*AP51,2)</f>
        <v>0</v>
      </c>
      <c r="J51" s="24">
        <f>ROUND(F51*G51,2)</f>
        <v>0</v>
      </c>
      <c r="K51" s="25" t="s">
        <v>63</v>
      </c>
      <c r="Z51" s="24">
        <f>ROUND(IF(AQ51="5",BJ51,0),2)</f>
        <v>0</v>
      </c>
      <c r="AB51" s="24">
        <f>ROUND(IF(AQ51="1",BH51,0),2)</f>
        <v>0</v>
      </c>
      <c r="AC51" s="24">
        <f>ROUND(IF(AQ51="1",BI51,0),2)</f>
        <v>0</v>
      </c>
      <c r="AD51" s="24">
        <f>ROUND(IF(AQ51="7",BH51,0),2)</f>
        <v>0</v>
      </c>
      <c r="AE51" s="24">
        <f>ROUND(IF(AQ51="7",BI51,0),2)</f>
        <v>0</v>
      </c>
      <c r="AF51" s="24">
        <f>ROUND(IF(AQ51="2",BH51,0),2)</f>
        <v>0</v>
      </c>
      <c r="AG51" s="24">
        <f>ROUND(IF(AQ51="2",BI51,0),2)</f>
        <v>0</v>
      </c>
      <c r="AH51" s="24">
        <f>ROUND(IF(AQ51="0",BJ51,0),2)</f>
        <v>0</v>
      </c>
      <c r="AI51" s="10" t="s">
        <v>47</v>
      </c>
      <c r="AJ51" s="24">
        <f>IF(AN51=0,J51,0)</f>
        <v>0</v>
      </c>
      <c r="AK51" s="24">
        <f>IF(AN51=12,J51,0)</f>
        <v>0</v>
      </c>
      <c r="AL51" s="24">
        <f>IF(AN51=21,J51,0)</f>
        <v>0</v>
      </c>
      <c r="AN51" s="24">
        <v>21</v>
      </c>
      <c r="AO51" s="24">
        <f>G51*0</f>
        <v>0</v>
      </c>
      <c r="AP51" s="24">
        <f>G51*(1-0)</f>
        <v>0</v>
      </c>
      <c r="AQ51" s="26" t="s">
        <v>155</v>
      </c>
      <c r="AV51" s="24">
        <f>ROUND(AW51+AX51,2)</f>
        <v>0</v>
      </c>
      <c r="AW51" s="24">
        <f>ROUND(F51*AO51,2)</f>
        <v>0</v>
      </c>
      <c r="AX51" s="24">
        <f>ROUND(F51*AP51,2)</f>
        <v>0</v>
      </c>
      <c r="AY51" s="26" t="s">
        <v>162</v>
      </c>
      <c r="AZ51" s="26" t="s">
        <v>162</v>
      </c>
      <c r="BA51" s="10" t="s">
        <v>55</v>
      </c>
      <c r="BC51" s="24">
        <f>AW51+AX51</f>
        <v>0</v>
      </c>
      <c r="BD51" s="24">
        <f>G51/(100-BE51)*100</f>
        <v>0</v>
      </c>
      <c r="BE51" s="24">
        <v>0</v>
      </c>
      <c r="BF51" s="24">
        <f>51</f>
        <v>51</v>
      </c>
      <c r="BH51" s="24">
        <f>F51*AO51</f>
        <v>0</v>
      </c>
      <c r="BI51" s="24">
        <f>F51*AP51</f>
        <v>0</v>
      </c>
      <c r="BJ51" s="24">
        <f>F51*G51</f>
        <v>0</v>
      </c>
      <c r="BK51" s="26" t="s">
        <v>56</v>
      </c>
      <c r="BL51" s="24"/>
      <c r="BO51" s="24">
        <f>F51*G51</f>
        <v>0</v>
      </c>
      <c r="BW51" s="24">
        <v>21</v>
      </c>
      <c r="BX51" s="4" t="s">
        <v>165</v>
      </c>
    </row>
    <row r="52" spans="1:76" x14ac:dyDescent="0.25">
      <c r="A52" s="2" t="s">
        <v>166</v>
      </c>
      <c r="B52" s="3" t="s">
        <v>167</v>
      </c>
      <c r="C52" s="71" t="s">
        <v>168</v>
      </c>
      <c r="D52" s="66"/>
      <c r="E52" s="3" t="s">
        <v>154</v>
      </c>
      <c r="F52" s="24">
        <v>1</v>
      </c>
      <c r="G52" s="59">
        <v>0</v>
      </c>
      <c r="H52" s="24">
        <f>ROUND(F52*AO52,2)</f>
        <v>0</v>
      </c>
      <c r="I52" s="24">
        <f>ROUND(F52*AP52,2)</f>
        <v>0</v>
      </c>
      <c r="J52" s="24">
        <f>ROUND(F52*G52,2)</f>
        <v>0</v>
      </c>
      <c r="K52" s="25" t="s">
        <v>63</v>
      </c>
      <c r="Z52" s="24">
        <f>ROUND(IF(AQ52="5",BJ52,0),2)</f>
        <v>0</v>
      </c>
      <c r="AB52" s="24">
        <f>ROUND(IF(AQ52="1",BH52,0),2)</f>
        <v>0</v>
      </c>
      <c r="AC52" s="24">
        <f>ROUND(IF(AQ52="1",BI52,0),2)</f>
        <v>0</v>
      </c>
      <c r="AD52" s="24">
        <f>ROUND(IF(AQ52="7",BH52,0),2)</f>
        <v>0</v>
      </c>
      <c r="AE52" s="24">
        <f>ROUND(IF(AQ52="7",BI52,0),2)</f>
        <v>0</v>
      </c>
      <c r="AF52" s="24">
        <f>ROUND(IF(AQ52="2",BH52,0),2)</f>
        <v>0</v>
      </c>
      <c r="AG52" s="24">
        <f>ROUND(IF(AQ52="2",BI52,0),2)</f>
        <v>0</v>
      </c>
      <c r="AH52" s="24">
        <f>ROUND(IF(AQ52="0",BJ52,0),2)</f>
        <v>0</v>
      </c>
      <c r="AI52" s="10" t="s">
        <v>47</v>
      </c>
      <c r="AJ52" s="24">
        <f>IF(AN52=0,J52,0)</f>
        <v>0</v>
      </c>
      <c r="AK52" s="24">
        <f>IF(AN52=12,J52,0)</f>
        <v>0</v>
      </c>
      <c r="AL52" s="24">
        <f>IF(AN52=21,J52,0)</f>
        <v>0</v>
      </c>
      <c r="AN52" s="24">
        <v>21</v>
      </c>
      <c r="AO52" s="24">
        <f>G52*0</f>
        <v>0</v>
      </c>
      <c r="AP52" s="24">
        <f>G52*(1-0)</f>
        <v>0</v>
      </c>
      <c r="AQ52" s="26" t="s">
        <v>155</v>
      </c>
      <c r="AV52" s="24">
        <f>ROUND(AW52+AX52,2)</f>
        <v>0</v>
      </c>
      <c r="AW52" s="24">
        <f>ROUND(F52*AO52,2)</f>
        <v>0</v>
      </c>
      <c r="AX52" s="24">
        <f>ROUND(F52*AP52,2)</f>
        <v>0</v>
      </c>
      <c r="AY52" s="26" t="s">
        <v>162</v>
      </c>
      <c r="AZ52" s="26" t="s">
        <v>162</v>
      </c>
      <c r="BA52" s="10" t="s">
        <v>55</v>
      </c>
      <c r="BC52" s="24">
        <f>AW52+AX52</f>
        <v>0</v>
      </c>
      <c r="BD52" s="24">
        <f>G52/(100-BE52)*100</f>
        <v>0</v>
      </c>
      <c r="BE52" s="24">
        <v>0</v>
      </c>
      <c r="BF52" s="24">
        <f>52</f>
        <v>52</v>
      </c>
      <c r="BH52" s="24">
        <f>F52*AO52</f>
        <v>0</v>
      </c>
      <c r="BI52" s="24">
        <f>F52*AP52</f>
        <v>0</v>
      </c>
      <c r="BJ52" s="24">
        <f>F52*G52</f>
        <v>0</v>
      </c>
      <c r="BK52" s="26" t="s">
        <v>56</v>
      </c>
      <c r="BL52" s="24"/>
      <c r="BO52" s="24">
        <f>F52*G52</f>
        <v>0</v>
      </c>
      <c r="BW52" s="24">
        <v>21</v>
      </c>
      <c r="BX52" s="4" t="s">
        <v>168</v>
      </c>
    </row>
    <row r="53" spans="1:76" x14ac:dyDescent="0.25">
      <c r="A53" s="27" t="s">
        <v>47</v>
      </c>
      <c r="B53" s="28" t="s">
        <v>169</v>
      </c>
      <c r="C53" s="89" t="s">
        <v>170</v>
      </c>
      <c r="D53" s="90"/>
      <c r="E53" s="29" t="s">
        <v>28</v>
      </c>
      <c r="F53" s="29" t="s">
        <v>28</v>
      </c>
      <c r="G53" s="29" t="s">
        <v>28</v>
      </c>
      <c r="H53" s="1">
        <f>ROUND(SUM(H54:H54),2)</f>
        <v>0</v>
      </c>
      <c r="I53" s="1">
        <f>ROUND(SUM(I54:I54),2)</f>
        <v>0</v>
      </c>
      <c r="J53" s="1">
        <f>ROUND(SUM(J54:J54),2)</f>
        <v>0</v>
      </c>
      <c r="K53" s="30" t="s">
        <v>47</v>
      </c>
      <c r="AI53" s="10" t="s">
        <v>47</v>
      </c>
      <c r="AS53" s="1">
        <f>SUM(AJ54:AJ54)</f>
        <v>0</v>
      </c>
      <c r="AT53" s="1">
        <f>SUM(AK54:AK54)</f>
        <v>0</v>
      </c>
      <c r="AU53" s="1">
        <f>SUM(AL54:AL54)</f>
        <v>0</v>
      </c>
    </row>
    <row r="54" spans="1:76" x14ac:dyDescent="0.25">
      <c r="A54" s="31" t="s">
        <v>171</v>
      </c>
      <c r="B54" s="32" t="s">
        <v>172</v>
      </c>
      <c r="C54" s="92" t="s">
        <v>173</v>
      </c>
      <c r="D54" s="93"/>
      <c r="E54" s="32" t="s">
        <v>154</v>
      </c>
      <c r="F54" s="33">
        <v>1</v>
      </c>
      <c r="G54" s="60">
        <v>0</v>
      </c>
      <c r="H54" s="33">
        <f>ROUND(F54*AO54,2)</f>
        <v>0</v>
      </c>
      <c r="I54" s="33">
        <f>ROUND(F54*AP54,2)</f>
        <v>0</v>
      </c>
      <c r="J54" s="33">
        <f>ROUND(F54*G54,2)</f>
        <v>0</v>
      </c>
      <c r="K54" s="34" t="s">
        <v>63</v>
      </c>
      <c r="Z54" s="24">
        <f>ROUND(IF(AQ54="5",BJ54,0),2)</f>
        <v>0</v>
      </c>
      <c r="AB54" s="24">
        <f>ROUND(IF(AQ54="1",BH54,0),2)</f>
        <v>0</v>
      </c>
      <c r="AC54" s="24">
        <f>ROUND(IF(AQ54="1",BI54,0),2)</f>
        <v>0</v>
      </c>
      <c r="AD54" s="24">
        <f>ROUND(IF(AQ54="7",BH54,0),2)</f>
        <v>0</v>
      </c>
      <c r="AE54" s="24">
        <f>ROUND(IF(AQ54="7",BI54,0),2)</f>
        <v>0</v>
      </c>
      <c r="AF54" s="24">
        <f>ROUND(IF(AQ54="2",BH54,0),2)</f>
        <v>0</v>
      </c>
      <c r="AG54" s="24">
        <f>ROUND(IF(AQ54="2",BI54,0),2)</f>
        <v>0</v>
      </c>
      <c r="AH54" s="24">
        <f>ROUND(IF(AQ54="0",BJ54,0),2)</f>
        <v>0</v>
      </c>
      <c r="AI54" s="10" t="s">
        <v>47</v>
      </c>
      <c r="AJ54" s="24">
        <f>IF(AN54=0,J54,0)</f>
        <v>0</v>
      </c>
      <c r="AK54" s="24">
        <f>IF(AN54=12,J54,0)</f>
        <v>0</v>
      </c>
      <c r="AL54" s="24">
        <f>IF(AN54=21,J54,0)</f>
        <v>0</v>
      </c>
      <c r="AN54" s="24">
        <v>21</v>
      </c>
      <c r="AO54" s="24">
        <f>G54*0</f>
        <v>0</v>
      </c>
      <c r="AP54" s="24">
        <f>G54*(1-0)</f>
        <v>0</v>
      </c>
      <c r="AQ54" s="26" t="s">
        <v>155</v>
      </c>
      <c r="AV54" s="24">
        <f>ROUND(AW54+AX54,2)</f>
        <v>0</v>
      </c>
      <c r="AW54" s="24">
        <f>ROUND(F54*AO54,2)</f>
        <v>0</v>
      </c>
      <c r="AX54" s="24">
        <f>ROUND(F54*AP54,2)</f>
        <v>0</v>
      </c>
      <c r="AY54" s="26" t="s">
        <v>174</v>
      </c>
      <c r="AZ54" s="26" t="s">
        <v>174</v>
      </c>
      <c r="BA54" s="10" t="s">
        <v>55</v>
      </c>
      <c r="BC54" s="24">
        <f>AW54+AX54</f>
        <v>0</v>
      </c>
      <c r="BD54" s="24">
        <f>G54/(100-BE54)*100</f>
        <v>0</v>
      </c>
      <c r="BE54" s="24">
        <v>0</v>
      </c>
      <c r="BF54" s="24">
        <f>54</f>
        <v>54</v>
      </c>
      <c r="BH54" s="24">
        <f>F54*AO54</f>
        <v>0</v>
      </c>
      <c r="BI54" s="24">
        <f>F54*AP54</f>
        <v>0</v>
      </c>
      <c r="BJ54" s="24">
        <f>F54*G54</f>
        <v>0</v>
      </c>
      <c r="BK54" s="26" t="s">
        <v>56</v>
      </c>
      <c r="BL54" s="24"/>
      <c r="BS54" s="24">
        <f>F54*G54</f>
        <v>0</v>
      </c>
      <c r="BW54" s="24">
        <v>21</v>
      </c>
      <c r="BX54" s="4" t="s">
        <v>173</v>
      </c>
    </row>
    <row r="55" spans="1:76" x14ac:dyDescent="0.25">
      <c r="H55" s="91" t="s">
        <v>175</v>
      </c>
      <c r="I55" s="91"/>
      <c r="J55" s="35">
        <f>ROUND(SUM(J12,J14,J16,J19,J24,J29,J32,J37,J40,J46,J49,J53),2)</f>
        <v>0</v>
      </c>
    </row>
    <row r="56" spans="1:76" x14ac:dyDescent="0.25">
      <c r="A56" s="36" t="s">
        <v>176</v>
      </c>
    </row>
    <row r="57" spans="1:76" ht="12.75" customHeight="1" x14ac:dyDescent="0.25">
      <c r="A57" s="71" t="s">
        <v>47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</row>
  </sheetData>
  <mergeCells count="73">
    <mergeCell ref="H55:I55"/>
    <mergeCell ref="A57:K57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9"/>
  <sheetViews>
    <sheetView workbookViewId="0">
      <selection activeCell="E44" sqref="E44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94" t="s">
        <v>177</v>
      </c>
      <c r="B1" s="62"/>
      <c r="C1" s="62"/>
      <c r="D1" s="62"/>
      <c r="E1" s="62"/>
      <c r="F1" s="62"/>
      <c r="G1" s="62"/>
      <c r="H1" s="62"/>
      <c r="I1" s="62"/>
    </row>
    <row r="2" spans="1:9" x14ac:dyDescent="0.25">
      <c r="A2" s="63" t="s">
        <v>1</v>
      </c>
      <c r="B2" s="64"/>
      <c r="C2" s="72" t="str">
        <f>'Stavební rozpočet'!C2</f>
        <v>HŘBITOV - OPRAVA ZPEVNĚNÝCH PLOCH, ŠLAPANICE</v>
      </c>
      <c r="D2" s="73"/>
      <c r="E2" s="70" t="s">
        <v>3</v>
      </c>
      <c r="F2" s="70" t="str">
        <f>'Stavební rozpočet'!I2</f>
        <v> </v>
      </c>
      <c r="G2" s="64"/>
      <c r="H2" s="70" t="s">
        <v>178</v>
      </c>
      <c r="I2" s="75" t="s">
        <v>47</v>
      </c>
    </row>
    <row r="3" spans="1:9" ht="15" customHeight="1" x14ac:dyDescent="0.25">
      <c r="A3" s="65"/>
      <c r="B3" s="66"/>
      <c r="C3" s="74"/>
      <c r="D3" s="74"/>
      <c r="E3" s="66"/>
      <c r="F3" s="66"/>
      <c r="G3" s="66"/>
      <c r="H3" s="66"/>
      <c r="I3" s="76"/>
    </row>
    <row r="4" spans="1:9" x14ac:dyDescent="0.25">
      <c r="A4" s="67" t="s">
        <v>5</v>
      </c>
      <c r="B4" s="66"/>
      <c r="C4" s="71" t="str">
        <f>'Stavební rozpočet'!C4</f>
        <v>SO 01 ZPEVNĚNÉ PLOCHY - 3. etapa</v>
      </c>
      <c r="D4" s="66"/>
      <c r="E4" s="71" t="s">
        <v>8</v>
      </c>
      <c r="F4" s="71" t="str">
        <f>'Stavební rozpočet'!I4</f>
        <v> </v>
      </c>
      <c r="G4" s="66"/>
      <c r="H4" s="71" t="s">
        <v>178</v>
      </c>
      <c r="I4" s="76" t="s">
        <v>47</v>
      </c>
    </row>
    <row r="5" spans="1:9" ht="15" customHeight="1" x14ac:dyDescent="0.25">
      <c r="A5" s="65"/>
      <c r="B5" s="66"/>
      <c r="C5" s="66"/>
      <c r="D5" s="66"/>
      <c r="E5" s="66"/>
      <c r="F5" s="66"/>
      <c r="G5" s="66"/>
      <c r="H5" s="66"/>
      <c r="I5" s="76"/>
    </row>
    <row r="6" spans="1:9" x14ac:dyDescent="0.25">
      <c r="A6" s="67" t="s">
        <v>9</v>
      </c>
      <c r="B6" s="66"/>
      <c r="C6" s="71" t="str">
        <f>'Stavební rozpočet'!C6</f>
        <v>K.Ú. Šlapanice</v>
      </c>
      <c r="D6" s="66"/>
      <c r="E6" s="71" t="s">
        <v>12</v>
      </c>
      <c r="F6" s="95" t="str">
        <f>'Stavební rozpočet'!I6</f>
        <v> </v>
      </c>
      <c r="G6" s="77"/>
      <c r="H6" s="71" t="s">
        <v>178</v>
      </c>
      <c r="I6" s="78" t="s">
        <v>47</v>
      </c>
    </row>
    <row r="7" spans="1:9" ht="15" customHeight="1" x14ac:dyDescent="0.25">
      <c r="A7" s="65"/>
      <c r="B7" s="66"/>
      <c r="C7" s="66"/>
      <c r="D7" s="66"/>
      <c r="E7" s="66"/>
      <c r="F7" s="77"/>
      <c r="G7" s="77"/>
      <c r="H7" s="66"/>
      <c r="I7" s="78"/>
    </row>
    <row r="8" spans="1:9" x14ac:dyDescent="0.25">
      <c r="A8" s="67" t="s">
        <v>7</v>
      </c>
      <c r="B8" s="66"/>
      <c r="C8" s="71"/>
      <c r="D8" s="66"/>
      <c r="E8" s="71" t="s">
        <v>11</v>
      </c>
      <c r="F8" s="71"/>
      <c r="G8" s="66"/>
      <c r="H8" s="66" t="s">
        <v>179</v>
      </c>
      <c r="I8" s="96">
        <v>30</v>
      </c>
    </row>
    <row r="9" spans="1:9" x14ac:dyDescent="0.25">
      <c r="A9" s="65"/>
      <c r="B9" s="66"/>
      <c r="C9" s="66"/>
      <c r="D9" s="66"/>
      <c r="E9" s="66"/>
      <c r="F9" s="66"/>
      <c r="G9" s="66"/>
      <c r="H9" s="66"/>
      <c r="I9" s="76"/>
    </row>
    <row r="10" spans="1:9" x14ac:dyDescent="0.25">
      <c r="A10" s="67" t="s">
        <v>13</v>
      </c>
      <c r="B10" s="66"/>
      <c r="C10" s="71" t="str">
        <f>'Stavební rozpočet'!C8</f>
        <v>8225922</v>
      </c>
      <c r="D10" s="66"/>
      <c r="E10" s="71" t="s">
        <v>16</v>
      </c>
      <c r="F10" s="95"/>
      <c r="G10" s="77"/>
      <c r="H10" s="66" t="s">
        <v>180</v>
      </c>
      <c r="I10" s="97"/>
    </row>
    <row r="11" spans="1:9" x14ac:dyDescent="0.25">
      <c r="A11" s="103"/>
      <c r="B11" s="93"/>
      <c r="C11" s="93"/>
      <c r="D11" s="93"/>
      <c r="E11" s="93"/>
      <c r="F11" s="102"/>
      <c r="G11" s="102"/>
      <c r="H11" s="93"/>
      <c r="I11" s="98"/>
    </row>
    <row r="12" spans="1:9" ht="23.25" x14ac:dyDescent="0.25">
      <c r="A12" s="99" t="s">
        <v>181</v>
      </c>
      <c r="B12" s="99"/>
      <c r="C12" s="99"/>
      <c r="D12" s="99"/>
      <c r="E12" s="99"/>
      <c r="F12" s="99"/>
      <c r="G12" s="99"/>
      <c r="H12" s="99"/>
      <c r="I12" s="99"/>
    </row>
    <row r="13" spans="1:9" ht="26.25" customHeight="1" x14ac:dyDescent="0.25">
      <c r="A13" s="37" t="s">
        <v>182</v>
      </c>
      <c r="B13" s="100" t="s">
        <v>183</v>
      </c>
      <c r="C13" s="101"/>
      <c r="D13" s="38" t="s">
        <v>184</v>
      </c>
      <c r="E13" s="100" t="s">
        <v>185</v>
      </c>
      <c r="F13" s="101"/>
      <c r="G13" s="38" t="s">
        <v>186</v>
      </c>
      <c r="H13" s="100" t="s">
        <v>187</v>
      </c>
      <c r="I13" s="101"/>
    </row>
    <row r="14" spans="1:9" ht="15.75" x14ac:dyDescent="0.25">
      <c r="A14" s="39" t="s">
        <v>188</v>
      </c>
      <c r="B14" s="40" t="s">
        <v>189</v>
      </c>
      <c r="C14" s="41">
        <f>SUM('Stavební rozpočet'!AB12:AB108)</f>
        <v>0</v>
      </c>
      <c r="D14" s="110" t="s">
        <v>190</v>
      </c>
      <c r="E14" s="111"/>
      <c r="F14" s="41">
        <f>VORN!I15</f>
        <v>0</v>
      </c>
      <c r="G14" s="110" t="s">
        <v>159</v>
      </c>
      <c r="H14" s="111"/>
      <c r="I14" s="42">
        <f>VORN!I21</f>
        <v>0</v>
      </c>
    </row>
    <row r="15" spans="1:9" ht="15.75" x14ac:dyDescent="0.25">
      <c r="A15" s="43" t="s">
        <v>47</v>
      </c>
      <c r="B15" s="40" t="s">
        <v>32</v>
      </c>
      <c r="C15" s="41">
        <f>SUM('Stavební rozpočet'!AC12:AC108)</f>
        <v>0</v>
      </c>
      <c r="D15" s="110" t="s">
        <v>191</v>
      </c>
      <c r="E15" s="111"/>
      <c r="F15" s="41">
        <f>VORN!I16</f>
        <v>0</v>
      </c>
      <c r="G15" s="110" t="s">
        <v>192</v>
      </c>
      <c r="H15" s="111"/>
      <c r="I15" s="42">
        <f>VORN!I22</f>
        <v>0</v>
      </c>
    </row>
    <row r="16" spans="1:9" ht="15.75" x14ac:dyDescent="0.25">
      <c r="A16" s="39" t="s">
        <v>193</v>
      </c>
      <c r="B16" s="40" t="s">
        <v>189</v>
      </c>
      <c r="C16" s="41">
        <f>SUM('Stavební rozpočet'!AD12:AD108)</f>
        <v>0</v>
      </c>
      <c r="D16" s="110" t="s">
        <v>194</v>
      </c>
      <c r="E16" s="111"/>
      <c r="F16" s="41">
        <f>VORN!I17</f>
        <v>0</v>
      </c>
      <c r="G16" s="110" t="s">
        <v>195</v>
      </c>
      <c r="H16" s="111"/>
      <c r="I16" s="42">
        <f>VORN!I23</f>
        <v>0</v>
      </c>
    </row>
    <row r="17" spans="1:9" ht="15.75" x14ac:dyDescent="0.25">
      <c r="A17" s="43" t="s">
        <v>47</v>
      </c>
      <c r="B17" s="40" t="s">
        <v>32</v>
      </c>
      <c r="C17" s="41">
        <f>SUM('Stavební rozpočet'!AE12:AE108)</f>
        <v>0</v>
      </c>
      <c r="D17" s="110" t="s">
        <v>47</v>
      </c>
      <c r="E17" s="111"/>
      <c r="F17" s="42" t="s">
        <v>47</v>
      </c>
      <c r="G17" s="110" t="s">
        <v>170</v>
      </c>
      <c r="H17" s="111"/>
      <c r="I17" s="42">
        <f>VORN!I24</f>
        <v>0</v>
      </c>
    </row>
    <row r="18" spans="1:9" ht="15.75" x14ac:dyDescent="0.25">
      <c r="A18" s="39" t="s">
        <v>196</v>
      </c>
      <c r="B18" s="40" t="s">
        <v>189</v>
      </c>
      <c r="C18" s="41">
        <f>SUM('Stavební rozpočet'!AF12:AF108)</f>
        <v>0</v>
      </c>
      <c r="D18" s="110" t="s">
        <v>47</v>
      </c>
      <c r="E18" s="111"/>
      <c r="F18" s="42" t="s">
        <v>47</v>
      </c>
      <c r="G18" s="110" t="s">
        <v>197</v>
      </c>
      <c r="H18" s="111"/>
      <c r="I18" s="42">
        <f>VORN!I25</f>
        <v>0</v>
      </c>
    </row>
    <row r="19" spans="1:9" ht="15.75" x14ac:dyDescent="0.25">
      <c r="A19" s="43" t="s">
        <v>47</v>
      </c>
      <c r="B19" s="40" t="s">
        <v>32</v>
      </c>
      <c r="C19" s="41">
        <f>SUM('Stavební rozpočet'!AG12:AG108)</f>
        <v>0</v>
      </c>
      <c r="D19" s="110" t="s">
        <v>47</v>
      </c>
      <c r="E19" s="111"/>
      <c r="F19" s="42" t="s">
        <v>47</v>
      </c>
      <c r="G19" s="110" t="s">
        <v>198</v>
      </c>
      <c r="H19" s="111"/>
      <c r="I19" s="42">
        <f>VORN!I26</f>
        <v>0</v>
      </c>
    </row>
    <row r="20" spans="1:9" ht="15.75" x14ac:dyDescent="0.25">
      <c r="A20" s="104" t="s">
        <v>199</v>
      </c>
      <c r="B20" s="105"/>
      <c r="C20" s="41">
        <f>SUM('Stavební rozpočet'!AH12:AH108)</f>
        <v>0</v>
      </c>
      <c r="D20" s="110" t="s">
        <v>47</v>
      </c>
      <c r="E20" s="111"/>
      <c r="F20" s="42" t="s">
        <v>47</v>
      </c>
      <c r="G20" s="110" t="s">
        <v>47</v>
      </c>
      <c r="H20" s="111"/>
      <c r="I20" s="42" t="s">
        <v>47</v>
      </c>
    </row>
    <row r="21" spans="1:9" ht="15.75" x14ac:dyDescent="0.25">
      <c r="A21" s="106" t="s">
        <v>200</v>
      </c>
      <c r="B21" s="107"/>
      <c r="C21" s="44">
        <f>SUM('Stavební rozpočet'!Z12:Z108)</f>
        <v>0</v>
      </c>
      <c r="D21" s="112" t="s">
        <v>47</v>
      </c>
      <c r="E21" s="113"/>
      <c r="F21" s="45" t="s">
        <v>47</v>
      </c>
      <c r="G21" s="112" t="s">
        <v>47</v>
      </c>
      <c r="H21" s="113"/>
      <c r="I21" s="45" t="s">
        <v>47</v>
      </c>
    </row>
    <row r="22" spans="1:9" ht="16.5" customHeight="1" x14ac:dyDescent="0.25">
      <c r="A22" s="108" t="s">
        <v>201</v>
      </c>
      <c r="B22" s="109"/>
      <c r="C22" s="46">
        <f>ROUND(SUM(C14:C21),2)</f>
        <v>0</v>
      </c>
      <c r="D22" s="114" t="s">
        <v>202</v>
      </c>
      <c r="E22" s="109"/>
      <c r="F22" s="46">
        <f>SUM(F14:F21)</f>
        <v>0</v>
      </c>
      <c r="G22" s="114" t="s">
        <v>203</v>
      </c>
      <c r="H22" s="109"/>
      <c r="I22" s="46">
        <f>SUM(I14:I21)</f>
        <v>0</v>
      </c>
    </row>
    <row r="23" spans="1:9" ht="15.75" x14ac:dyDescent="0.25">
      <c r="D23" s="104" t="s">
        <v>204</v>
      </c>
      <c r="E23" s="105"/>
      <c r="F23" s="47">
        <v>0</v>
      </c>
      <c r="G23" s="115" t="s">
        <v>205</v>
      </c>
      <c r="H23" s="105"/>
      <c r="I23" s="41">
        <v>0</v>
      </c>
    </row>
    <row r="24" spans="1:9" ht="15.75" x14ac:dyDescent="0.25">
      <c r="G24" s="104" t="s">
        <v>206</v>
      </c>
      <c r="H24" s="105"/>
      <c r="I24" s="44">
        <f>vorn_sum</f>
        <v>0</v>
      </c>
    </row>
    <row r="25" spans="1:9" ht="15.75" x14ac:dyDescent="0.25">
      <c r="G25" s="104" t="s">
        <v>207</v>
      </c>
      <c r="H25" s="105"/>
      <c r="I25" s="46">
        <v>0</v>
      </c>
    </row>
    <row r="27" spans="1:9" ht="15.75" x14ac:dyDescent="0.25">
      <c r="A27" s="116" t="s">
        <v>208</v>
      </c>
      <c r="B27" s="117"/>
      <c r="C27" s="48">
        <f>ROUND(SUM('Stavební rozpočet'!AJ12:AJ108),2)</f>
        <v>0</v>
      </c>
    </row>
    <row r="28" spans="1:9" ht="15.75" x14ac:dyDescent="0.25">
      <c r="A28" s="118" t="s">
        <v>209</v>
      </c>
      <c r="B28" s="119"/>
      <c r="C28" s="49">
        <f>ROUND(SUM('Stavební rozpočet'!AK12:AK108),2)</f>
        <v>0</v>
      </c>
      <c r="D28" s="120" t="s">
        <v>210</v>
      </c>
      <c r="E28" s="117"/>
      <c r="F28" s="48">
        <f>ROUND(C28*(12/100),2)</f>
        <v>0</v>
      </c>
      <c r="G28" s="120" t="s">
        <v>211</v>
      </c>
      <c r="H28" s="117"/>
      <c r="I28" s="48">
        <f>ROUND(SUM(C27:C29),2)</f>
        <v>0</v>
      </c>
    </row>
    <row r="29" spans="1:9" ht="15.75" x14ac:dyDescent="0.25">
      <c r="A29" s="118" t="s">
        <v>212</v>
      </c>
      <c r="B29" s="119"/>
      <c r="C29" s="49">
        <f>ROUND(SUM('Stavební rozpočet'!AL12:AL108),2)</f>
        <v>0</v>
      </c>
      <c r="D29" s="121" t="s">
        <v>213</v>
      </c>
      <c r="E29" s="119"/>
      <c r="F29" s="49">
        <f>ROUND(C29*(21/100),2)</f>
        <v>0</v>
      </c>
      <c r="G29" s="121" t="s">
        <v>214</v>
      </c>
      <c r="H29" s="119"/>
      <c r="I29" s="49">
        <f>ROUND(SUM(F28:F29)+I28,2)</f>
        <v>0</v>
      </c>
    </row>
    <row r="31" spans="1:9" x14ac:dyDescent="0.25">
      <c r="A31" s="133" t="s">
        <v>215</v>
      </c>
      <c r="B31" s="125"/>
      <c r="C31" s="126"/>
      <c r="D31" s="124" t="s">
        <v>216</v>
      </c>
      <c r="E31" s="125"/>
      <c r="F31" s="126"/>
      <c r="G31" s="124" t="s">
        <v>217</v>
      </c>
      <c r="H31" s="125"/>
      <c r="I31" s="126"/>
    </row>
    <row r="32" spans="1:9" x14ac:dyDescent="0.25">
      <c r="A32" s="134" t="s">
        <v>47</v>
      </c>
      <c r="B32" s="128"/>
      <c r="C32" s="129"/>
      <c r="D32" s="127" t="s">
        <v>47</v>
      </c>
      <c r="E32" s="128"/>
      <c r="F32" s="129"/>
      <c r="G32" s="127" t="s">
        <v>47</v>
      </c>
      <c r="H32" s="128"/>
      <c r="I32" s="129"/>
    </row>
    <row r="33" spans="1:9" x14ac:dyDescent="0.25">
      <c r="A33" s="134" t="s">
        <v>47</v>
      </c>
      <c r="B33" s="128"/>
      <c r="C33" s="129"/>
      <c r="D33" s="127" t="s">
        <v>47</v>
      </c>
      <c r="E33" s="128"/>
      <c r="F33" s="129"/>
      <c r="G33" s="127" t="s">
        <v>47</v>
      </c>
      <c r="H33" s="128"/>
      <c r="I33" s="129"/>
    </row>
    <row r="34" spans="1:9" x14ac:dyDescent="0.25">
      <c r="A34" s="134" t="s">
        <v>47</v>
      </c>
      <c r="B34" s="128"/>
      <c r="C34" s="129"/>
      <c r="D34" s="127" t="s">
        <v>47</v>
      </c>
      <c r="E34" s="128"/>
      <c r="F34" s="129"/>
      <c r="G34" s="127" t="s">
        <v>47</v>
      </c>
      <c r="H34" s="128"/>
      <c r="I34" s="129"/>
    </row>
    <row r="35" spans="1:9" x14ac:dyDescent="0.25">
      <c r="A35" s="135" t="s">
        <v>218</v>
      </c>
      <c r="B35" s="131"/>
      <c r="C35" s="132"/>
      <c r="D35" s="130" t="s">
        <v>218</v>
      </c>
      <c r="E35" s="131"/>
      <c r="F35" s="132"/>
      <c r="G35" s="130" t="s">
        <v>218</v>
      </c>
      <c r="H35" s="131"/>
      <c r="I35" s="132"/>
    </row>
    <row r="36" spans="1:9" x14ac:dyDescent="0.25">
      <c r="A36" s="50" t="s">
        <v>176</v>
      </c>
    </row>
    <row r="37" spans="1:9" ht="12.75" customHeight="1" x14ac:dyDescent="0.25">
      <c r="A37" s="122" t="s">
        <v>236</v>
      </c>
      <c r="B37" s="123"/>
      <c r="C37" s="123"/>
      <c r="D37" s="123"/>
      <c r="E37" s="123"/>
      <c r="F37" s="123"/>
      <c r="G37" s="123"/>
      <c r="H37" s="123"/>
      <c r="I37" s="123"/>
    </row>
    <row r="38" spans="1:9" ht="15" customHeight="1" x14ac:dyDescent="0.25">
      <c r="A38" s="61" t="s">
        <v>237</v>
      </c>
      <c r="B38" s="61"/>
      <c r="C38" s="61" t="s">
        <v>238</v>
      </c>
      <c r="D38" s="61"/>
      <c r="E38" s="61"/>
      <c r="F38" s="61"/>
      <c r="G38" s="61"/>
      <c r="H38" s="61"/>
      <c r="I38" s="61"/>
    </row>
    <row r="39" spans="1:9" ht="15" customHeight="1" x14ac:dyDescent="0.25">
      <c r="A39" s="61"/>
      <c r="B39" s="61"/>
      <c r="C39" s="61" t="s">
        <v>239</v>
      </c>
      <c r="D39" s="61"/>
      <c r="E39" s="61"/>
      <c r="F39" s="61"/>
      <c r="G39" s="61"/>
      <c r="H39" s="61"/>
      <c r="I39" s="61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94" t="s">
        <v>148</v>
      </c>
      <c r="B1" s="62"/>
      <c r="C1" s="62"/>
      <c r="D1" s="62"/>
      <c r="E1" s="62"/>
      <c r="F1" s="62"/>
      <c r="G1" s="62"/>
      <c r="H1" s="62"/>
      <c r="I1" s="62"/>
    </row>
    <row r="2" spans="1:9" x14ac:dyDescent="0.25">
      <c r="A2" s="63" t="s">
        <v>1</v>
      </c>
      <c r="B2" s="64"/>
      <c r="C2" s="72" t="str">
        <f>'Stavební rozpočet'!C2</f>
        <v>HŘBITOV - OPRAVA ZPEVNĚNÝCH PLOCH, ŠLAPANICE</v>
      </c>
      <c r="D2" s="73"/>
      <c r="E2" s="70" t="s">
        <v>3</v>
      </c>
      <c r="F2" s="70" t="str">
        <f>'Stavební rozpočet'!I2</f>
        <v> </v>
      </c>
      <c r="G2" s="64"/>
      <c r="H2" s="70" t="s">
        <v>178</v>
      </c>
      <c r="I2" s="75" t="s">
        <v>47</v>
      </c>
    </row>
    <row r="3" spans="1:9" ht="15" customHeight="1" x14ac:dyDescent="0.25">
      <c r="A3" s="65"/>
      <c r="B3" s="66"/>
      <c r="C3" s="74"/>
      <c r="D3" s="74"/>
      <c r="E3" s="66"/>
      <c r="F3" s="66"/>
      <c r="G3" s="66"/>
      <c r="H3" s="66"/>
      <c r="I3" s="76"/>
    </row>
    <row r="4" spans="1:9" x14ac:dyDescent="0.25">
      <c r="A4" s="67" t="s">
        <v>5</v>
      </c>
      <c r="B4" s="66"/>
      <c r="C4" s="71" t="str">
        <f>'Stavební rozpočet'!C4</f>
        <v>SO 01 ZPEVNĚNÉ PLOCHY - 3. etapa</v>
      </c>
      <c r="D4" s="66"/>
      <c r="E4" s="71" t="s">
        <v>8</v>
      </c>
      <c r="F4" s="71" t="str">
        <f>'Stavební rozpočet'!I4</f>
        <v> </v>
      </c>
      <c r="G4" s="66"/>
      <c r="H4" s="71" t="s">
        <v>178</v>
      </c>
      <c r="I4" s="76" t="s">
        <v>47</v>
      </c>
    </row>
    <row r="5" spans="1:9" ht="15" customHeight="1" x14ac:dyDescent="0.25">
      <c r="A5" s="65"/>
      <c r="B5" s="66"/>
      <c r="C5" s="66"/>
      <c r="D5" s="66"/>
      <c r="E5" s="66"/>
      <c r="F5" s="66"/>
      <c r="G5" s="66"/>
      <c r="H5" s="66"/>
      <c r="I5" s="76"/>
    </row>
    <row r="6" spans="1:9" x14ac:dyDescent="0.25">
      <c r="A6" s="67" t="s">
        <v>9</v>
      </c>
      <c r="B6" s="66"/>
      <c r="C6" s="71" t="str">
        <f>'Stavební rozpočet'!C6</f>
        <v>K.Ú. Šlapanice</v>
      </c>
      <c r="D6" s="66"/>
      <c r="E6" s="71" t="s">
        <v>12</v>
      </c>
      <c r="F6" s="71" t="str">
        <f>'Stavební rozpočet'!I6</f>
        <v> </v>
      </c>
      <c r="G6" s="66"/>
      <c r="H6" s="71" t="s">
        <v>178</v>
      </c>
      <c r="I6" s="76" t="s">
        <v>47</v>
      </c>
    </row>
    <row r="7" spans="1:9" ht="15" customHeight="1" x14ac:dyDescent="0.25">
      <c r="A7" s="65"/>
      <c r="B7" s="66"/>
      <c r="C7" s="66"/>
      <c r="D7" s="66"/>
      <c r="E7" s="66"/>
      <c r="F7" s="66"/>
      <c r="G7" s="66"/>
      <c r="H7" s="66"/>
      <c r="I7" s="76"/>
    </row>
    <row r="8" spans="1:9" x14ac:dyDescent="0.25">
      <c r="A8" s="67" t="s">
        <v>7</v>
      </c>
      <c r="B8" s="66"/>
      <c r="C8" s="71">
        <f>'Stavební rozpočet'!G4</f>
        <v>0</v>
      </c>
      <c r="D8" s="66"/>
      <c r="E8" s="71" t="s">
        <v>11</v>
      </c>
      <c r="F8" s="71">
        <f>'Stavební rozpočet'!G6</f>
        <v>0</v>
      </c>
      <c r="G8" s="66"/>
      <c r="H8" s="66" t="s">
        <v>179</v>
      </c>
      <c r="I8" s="96">
        <v>30</v>
      </c>
    </row>
    <row r="9" spans="1:9" x14ac:dyDescent="0.25">
      <c r="A9" s="65"/>
      <c r="B9" s="66"/>
      <c r="C9" s="66"/>
      <c r="D9" s="66"/>
      <c r="E9" s="66"/>
      <c r="F9" s="66"/>
      <c r="G9" s="66"/>
      <c r="H9" s="66"/>
      <c r="I9" s="76"/>
    </row>
    <row r="10" spans="1:9" x14ac:dyDescent="0.25">
      <c r="A10" s="67" t="s">
        <v>13</v>
      </c>
      <c r="B10" s="66"/>
      <c r="C10" s="71" t="str">
        <f>'Stavební rozpočet'!C8</f>
        <v>8225922</v>
      </c>
      <c r="D10" s="66"/>
      <c r="E10" s="71" t="s">
        <v>16</v>
      </c>
      <c r="F10" s="71">
        <f>'Stavební rozpočet'!I8</f>
        <v>0</v>
      </c>
      <c r="G10" s="66"/>
      <c r="H10" s="66" t="s">
        <v>180</v>
      </c>
      <c r="I10" s="97">
        <f>'Stavební rozpočet'!G8</f>
        <v>0</v>
      </c>
    </row>
    <row r="11" spans="1:9" x14ac:dyDescent="0.25">
      <c r="A11" s="103"/>
      <c r="B11" s="93"/>
      <c r="C11" s="93"/>
      <c r="D11" s="93"/>
      <c r="E11" s="93"/>
      <c r="F11" s="93"/>
      <c r="G11" s="93"/>
      <c r="H11" s="93"/>
      <c r="I11" s="98"/>
    </row>
    <row r="13" spans="1:9" ht="15.75" x14ac:dyDescent="0.25">
      <c r="A13" s="136" t="s">
        <v>219</v>
      </c>
      <c r="B13" s="136"/>
      <c r="C13" s="136"/>
      <c r="D13" s="136"/>
      <c r="E13" s="136"/>
    </row>
    <row r="14" spans="1:9" x14ac:dyDescent="0.25">
      <c r="A14" s="137" t="s">
        <v>220</v>
      </c>
      <c r="B14" s="138"/>
      <c r="C14" s="138"/>
      <c r="D14" s="138"/>
      <c r="E14" s="139"/>
      <c r="F14" s="51" t="s">
        <v>221</v>
      </c>
      <c r="G14" s="51" t="s">
        <v>222</v>
      </c>
      <c r="H14" s="51" t="s">
        <v>223</v>
      </c>
      <c r="I14" s="51" t="s">
        <v>221</v>
      </c>
    </row>
    <row r="15" spans="1:9" x14ac:dyDescent="0.25">
      <c r="A15" s="140" t="s">
        <v>190</v>
      </c>
      <c r="B15" s="141"/>
      <c r="C15" s="141"/>
      <c r="D15" s="141"/>
      <c r="E15" s="142"/>
      <c r="F15" s="52">
        <v>0</v>
      </c>
      <c r="G15" s="53" t="s">
        <v>47</v>
      </c>
      <c r="H15" s="53" t="s">
        <v>47</v>
      </c>
      <c r="I15" s="52">
        <f>F15</f>
        <v>0</v>
      </c>
    </row>
    <row r="16" spans="1:9" x14ac:dyDescent="0.25">
      <c r="A16" s="140" t="s">
        <v>191</v>
      </c>
      <c r="B16" s="141"/>
      <c r="C16" s="141"/>
      <c r="D16" s="141"/>
      <c r="E16" s="142"/>
      <c r="F16" s="52">
        <v>0</v>
      </c>
      <c r="G16" s="53" t="s">
        <v>47</v>
      </c>
      <c r="H16" s="53" t="s">
        <v>47</v>
      </c>
      <c r="I16" s="52">
        <f>F16</f>
        <v>0</v>
      </c>
    </row>
    <row r="17" spans="1:9" x14ac:dyDescent="0.25">
      <c r="A17" s="143" t="s">
        <v>194</v>
      </c>
      <c r="B17" s="144"/>
      <c r="C17" s="144"/>
      <c r="D17" s="144"/>
      <c r="E17" s="145"/>
      <c r="F17" s="54">
        <v>0</v>
      </c>
      <c r="G17" s="55" t="s">
        <v>47</v>
      </c>
      <c r="H17" s="55" t="s">
        <v>47</v>
      </c>
      <c r="I17" s="54">
        <f>F17</f>
        <v>0</v>
      </c>
    </row>
    <row r="18" spans="1:9" x14ac:dyDescent="0.25">
      <c r="A18" s="146" t="s">
        <v>224</v>
      </c>
      <c r="B18" s="147"/>
      <c r="C18" s="147"/>
      <c r="D18" s="147"/>
      <c r="E18" s="148"/>
      <c r="F18" s="56" t="s">
        <v>47</v>
      </c>
      <c r="G18" s="57" t="s">
        <v>47</v>
      </c>
      <c r="H18" s="57" t="s">
        <v>47</v>
      </c>
      <c r="I18" s="58">
        <f>SUM(I15:I17)</f>
        <v>0</v>
      </c>
    </row>
    <row r="20" spans="1:9" x14ac:dyDescent="0.25">
      <c r="A20" s="137" t="s">
        <v>187</v>
      </c>
      <c r="B20" s="138"/>
      <c r="C20" s="138"/>
      <c r="D20" s="138"/>
      <c r="E20" s="139"/>
      <c r="F20" s="51" t="s">
        <v>221</v>
      </c>
      <c r="G20" s="51" t="s">
        <v>222</v>
      </c>
      <c r="H20" s="51" t="s">
        <v>223</v>
      </c>
      <c r="I20" s="51" t="s">
        <v>221</v>
      </c>
    </row>
    <row r="21" spans="1:9" x14ac:dyDescent="0.25">
      <c r="A21" s="140" t="s">
        <v>159</v>
      </c>
      <c r="B21" s="141"/>
      <c r="C21" s="141"/>
      <c r="D21" s="141"/>
      <c r="E21" s="142"/>
      <c r="F21" s="52">
        <v>0</v>
      </c>
      <c r="G21" s="53" t="s">
        <v>47</v>
      </c>
      <c r="H21" s="53" t="s">
        <v>47</v>
      </c>
      <c r="I21" s="52">
        <f t="shared" ref="I21:I26" si="0">F21</f>
        <v>0</v>
      </c>
    </row>
    <row r="22" spans="1:9" x14ac:dyDescent="0.25">
      <c r="A22" s="140" t="s">
        <v>192</v>
      </c>
      <c r="B22" s="141"/>
      <c r="C22" s="141"/>
      <c r="D22" s="141"/>
      <c r="E22" s="142"/>
      <c r="F22" s="52">
        <v>0</v>
      </c>
      <c r="G22" s="53" t="s">
        <v>47</v>
      </c>
      <c r="H22" s="53" t="s">
        <v>47</v>
      </c>
      <c r="I22" s="52">
        <f t="shared" si="0"/>
        <v>0</v>
      </c>
    </row>
    <row r="23" spans="1:9" x14ac:dyDescent="0.25">
      <c r="A23" s="140" t="s">
        <v>195</v>
      </c>
      <c r="B23" s="141"/>
      <c r="C23" s="141"/>
      <c r="D23" s="141"/>
      <c r="E23" s="142"/>
      <c r="F23" s="52">
        <v>0</v>
      </c>
      <c r="G23" s="53" t="s">
        <v>47</v>
      </c>
      <c r="H23" s="53" t="s">
        <v>47</v>
      </c>
      <c r="I23" s="52">
        <f t="shared" si="0"/>
        <v>0</v>
      </c>
    </row>
    <row r="24" spans="1:9" x14ac:dyDescent="0.25">
      <c r="A24" s="140" t="s">
        <v>170</v>
      </c>
      <c r="B24" s="141"/>
      <c r="C24" s="141"/>
      <c r="D24" s="141"/>
      <c r="E24" s="142"/>
      <c r="F24" s="52">
        <v>0</v>
      </c>
      <c r="G24" s="53" t="s">
        <v>47</v>
      </c>
      <c r="H24" s="53" t="s">
        <v>47</v>
      </c>
      <c r="I24" s="52">
        <f t="shared" si="0"/>
        <v>0</v>
      </c>
    </row>
    <row r="25" spans="1:9" x14ac:dyDescent="0.25">
      <c r="A25" s="140" t="s">
        <v>197</v>
      </c>
      <c r="B25" s="141"/>
      <c r="C25" s="141"/>
      <c r="D25" s="141"/>
      <c r="E25" s="142"/>
      <c r="F25" s="52">
        <v>0</v>
      </c>
      <c r="G25" s="53" t="s">
        <v>47</v>
      </c>
      <c r="H25" s="53" t="s">
        <v>47</v>
      </c>
      <c r="I25" s="52">
        <f t="shared" si="0"/>
        <v>0</v>
      </c>
    </row>
    <row r="26" spans="1:9" x14ac:dyDescent="0.25">
      <c r="A26" s="143" t="s">
        <v>198</v>
      </c>
      <c r="B26" s="144"/>
      <c r="C26" s="144"/>
      <c r="D26" s="144"/>
      <c r="E26" s="145"/>
      <c r="F26" s="54">
        <v>0</v>
      </c>
      <c r="G26" s="55" t="s">
        <v>47</v>
      </c>
      <c r="H26" s="55" t="s">
        <v>47</v>
      </c>
      <c r="I26" s="54">
        <f t="shared" si="0"/>
        <v>0</v>
      </c>
    </row>
    <row r="27" spans="1:9" x14ac:dyDescent="0.25">
      <c r="A27" s="146" t="s">
        <v>225</v>
      </c>
      <c r="B27" s="147"/>
      <c r="C27" s="147"/>
      <c r="D27" s="147"/>
      <c r="E27" s="148"/>
      <c r="F27" s="56" t="s">
        <v>47</v>
      </c>
      <c r="G27" s="57" t="s">
        <v>47</v>
      </c>
      <c r="H27" s="57" t="s">
        <v>47</v>
      </c>
      <c r="I27" s="58">
        <f>SUM(I21:I26)</f>
        <v>0</v>
      </c>
    </row>
    <row r="29" spans="1:9" ht="15.75" x14ac:dyDescent="0.25">
      <c r="A29" s="149" t="s">
        <v>226</v>
      </c>
      <c r="B29" s="150"/>
      <c r="C29" s="150"/>
      <c r="D29" s="150"/>
      <c r="E29" s="151"/>
      <c r="F29" s="152">
        <f>I18+I27</f>
        <v>0</v>
      </c>
      <c r="G29" s="153"/>
      <c r="H29" s="153"/>
      <c r="I29" s="154"/>
    </row>
    <row r="33" spans="1:9" ht="15.75" x14ac:dyDescent="0.25">
      <c r="A33" s="136" t="s">
        <v>227</v>
      </c>
      <c r="B33" s="136"/>
      <c r="C33" s="136"/>
      <c r="D33" s="136"/>
      <c r="E33" s="136"/>
    </row>
    <row r="34" spans="1:9" x14ac:dyDescent="0.25">
      <c r="A34" s="137" t="s">
        <v>228</v>
      </c>
      <c r="B34" s="138"/>
      <c r="C34" s="138"/>
      <c r="D34" s="138"/>
      <c r="E34" s="139"/>
      <c r="F34" s="51" t="s">
        <v>221</v>
      </c>
      <c r="G34" s="51" t="s">
        <v>222</v>
      </c>
      <c r="H34" s="51" t="s">
        <v>223</v>
      </c>
      <c r="I34" s="51" t="s">
        <v>221</v>
      </c>
    </row>
    <row r="35" spans="1:9" x14ac:dyDescent="0.25">
      <c r="A35" s="140" t="s">
        <v>150</v>
      </c>
      <c r="B35" s="141"/>
      <c r="C35" s="141"/>
      <c r="D35" s="141"/>
      <c r="E35" s="142"/>
      <c r="F35" s="52">
        <f>SUM('Stavební rozpočet'!BM12:BM108)</f>
        <v>0</v>
      </c>
      <c r="G35" s="53" t="s">
        <v>47</v>
      </c>
      <c r="H35" s="53" t="s">
        <v>47</v>
      </c>
      <c r="I35" s="52">
        <f t="shared" ref="I35:I44" si="1">F35</f>
        <v>0</v>
      </c>
    </row>
    <row r="36" spans="1:9" x14ac:dyDescent="0.25">
      <c r="A36" s="140" t="s">
        <v>229</v>
      </c>
      <c r="B36" s="141"/>
      <c r="C36" s="141"/>
      <c r="D36" s="141"/>
      <c r="E36" s="142"/>
      <c r="F36" s="52">
        <f>SUM('Stavební rozpočet'!BN12:BN108)</f>
        <v>0</v>
      </c>
      <c r="G36" s="53" t="s">
        <v>47</v>
      </c>
      <c r="H36" s="53" t="s">
        <v>47</v>
      </c>
      <c r="I36" s="52">
        <f t="shared" si="1"/>
        <v>0</v>
      </c>
    </row>
    <row r="37" spans="1:9" x14ac:dyDescent="0.25">
      <c r="A37" s="140" t="s">
        <v>159</v>
      </c>
      <c r="B37" s="141"/>
      <c r="C37" s="141"/>
      <c r="D37" s="141"/>
      <c r="E37" s="142"/>
      <c r="F37" s="52">
        <f>SUM('Stavební rozpočet'!BO12:BO108)</f>
        <v>0</v>
      </c>
      <c r="G37" s="53" t="s">
        <v>47</v>
      </c>
      <c r="H37" s="53" t="s">
        <v>47</v>
      </c>
      <c r="I37" s="52">
        <f t="shared" si="1"/>
        <v>0</v>
      </c>
    </row>
    <row r="38" spans="1:9" x14ac:dyDescent="0.25">
      <c r="A38" s="140" t="s">
        <v>230</v>
      </c>
      <c r="B38" s="141"/>
      <c r="C38" s="141"/>
      <c r="D38" s="141"/>
      <c r="E38" s="142"/>
      <c r="F38" s="52">
        <f>SUM('Stavební rozpočet'!BP12:BP108)</f>
        <v>0</v>
      </c>
      <c r="G38" s="53" t="s">
        <v>47</v>
      </c>
      <c r="H38" s="53" t="s">
        <v>47</v>
      </c>
      <c r="I38" s="52">
        <f t="shared" si="1"/>
        <v>0</v>
      </c>
    </row>
    <row r="39" spans="1:9" x14ac:dyDescent="0.25">
      <c r="A39" s="140" t="s">
        <v>231</v>
      </c>
      <c r="B39" s="141"/>
      <c r="C39" s="141"/>
      <c r="D39" s="141"/>
      <c r="E39" s="142"/>
      <c r="F39" s="52">
        <f>SUM('Stavební rozpočet'!BQ12:BQ108)</f>
        <v>0</v>
      </c>
      <c r="G39" s="53" t="s">
        <v>47</v>
      </c>
      <c r="H39" s="53" t="s">
        <v>47</v>
      </c>
      <c r="I39" s="52">
        <f t="shared" si="1"/>
        <v>0</v>
      </c>
    </row>
    <row r="40" spans="1:9" x14ac:dyDescent="0.25">
      <c r="A40" s="140" t="s">
        <v>195</v>
      </c>
      <c r="B40" s="141"/>
      <c r="C40" s="141"/>
      <c r="D40" s="141"/>
      <c r="E40" s="142"/>
      <c r="F40" s="52">
        <f>SUM('Stavební rozpočet'!BR12:BR108)</f>
        <v>0</v>
      </c>
      <c r="G40" s="53" t="s">
        <v>47</v>
      </c>
      <c r="H40" s="53" t="s">
        <v>47</v>
      </c>
      <c r="I40" s="52">
        <f t="shared" si="1"/>
        <v>0</v>
      </c>
    </row>
    <row r="41" spans="1:9" x14ac:dyDescent="0.25">
      <c r="A41" s="140" t="s">
        <v>170</v>
      </c>
      <c r="B41" s="141"/>
      <c r="C41" s="141"/>
      <c r="D41" s="141"/>
      <c r="E41" s="142"/>
      <c r="F41" s="52">
        <f>SUM('Stavební rozpočet'!BS12:BS108)</f>
        <v>0</v>
      </c>
      <c r="G41" s="53" t="s">
        <v>47</v>
      </c>
      <c r="H41" s="53" t="s">
        <v>47</v>
      </c>
      <c r="I41" s="52">
        <f t="shared" si="1"/>
        <v>0</v>
      </c>
    </row>
    <row r="42" spans="1:9" x14ac:dyDescent="0.25">
      <c r="A42" s="140" t="s">
        <v>232</v>
      </c>
      <c r="B42" s="141"/>
      <c r="C42" s="141"/>
      <c r="D42" s="141"/>
      <c r="E42" s="142"/>
      <c r="F42" s="52">
        <f>SUM('Stavební rozpočet'!BT12:BT108)</f>
        <v>0</v>
      </c>
      <c r="G42" s="53" t="s">
        <v>47</v>
      </c>
      <c r="H42" s="53" t="s">
        <v>47</v>
      </c>
      <c r="I42" s="52">
        <f t="shared" si="1"/>
        <v>0</v>
      </c>
    </row>
    <row r="43" spans="1:9" x14ac:dyDescent="0.25">
      <c r="A43" s="140" t="s">
        <v>233</v>
      </c>
      <c r="B43" s="141"/>
      <c r="C43" s="141"/>
      <c r="D43" s="141"/>
      <c r="E43" s="142"/>
      <c r="F43" s="52">
        <f>SUM('Stavební rozpočet'!BU12:BU108)</f>
        <v>0</v>
      </c>
      <c r="G43" s="53" t="s">
        <v>47</v>
      </c>
      <c r="H43" s="53" t="s">
        <v>47</v>
      </c>
      <c r="I43" s="52">
        <f t="shared" si="1"/>
        <v>0</v>
      </c>
    </row>
    <row r="44" spans="1:9" x14ac:dyDescent="0.25">
      <c r="A44" s="143" t="s">
        <v>234</v>
      </c>
      <c r="B44" s="144"/>
      <c r="C44" s="144"/>
      <c r="D44" s="144"/>
      <c r="E44" s="145"/>
      <c r="F44" s="54">
        <f>SUM('Stavební rozpočet'!BV12:BV108)</f>
        <v>0</v>
      </c>
      <c r="G44" s="55" t="s">
        <v>47</v>
      </c>
      <c r="H44" s="55" t="s">
        <v>47</v>
      </c>
      <c r="I44" s="54">
        <f t="shared" si="1"/>
        <v>0</v>
      </c>
    </row>
    <row r="45" spans="1:9" x14ac:dyDescent="0.25">
      <c r="A45" s="146" t="s">
        <v>235</v>
      </c>
      <c r="B45" s="147"/>
      <c r="C45" s="147"/>
      <c r="D45" s="147"/>
      <c r="E45" s="148"/>
      <c r="F45" s="56" t="s">
        <v>47</v>
      </c>
      <c r="G45" s="57" t="s">
        <v>47</v>
      </c>
      <c r="H45" s="57" t="s">
        <v>47</v>
      </c>
      <c r="I45" s="58">
        <f>SUM(I35:I44)</f>
        <v>0</v>
      </c>
    </row>
  </sheetData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Zichová Jitka</cp:lastModifiedBy>
  <dcterms:created xsi:type="dcterms:W3CDTF">2021-06-10T20:06:38Z</dcterms:created>
  <dcterms:modified xsi:type="dcterms:W3CDTF">2025-10-08T14:52:46Z</dcterms:modified>
</cp:coreProperties>
</file>